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P:\DAJIM\05. AFFAIRES INSTITUTIONNELLES\01.INSTANCES\01.CONSEIL D'ADMINISTRATION\CONSEIL-ADMINISTRATION\CA UCA\CA\7 DELIBERATIONS 2026\4 DELIB 12 MAI 2026\RECTORAT\"/>
    </mc:Choice>
  </mc:AlternateContent>
  <xr:revisionPtr revIDLastSave="0" documentId="8_{F3A617C1-40CE-4344-BA46-63ECAC5EFB22}" xr6:coauthVersionLast="47" xr6:coauthVersionMax="47" xr10:uidLastSave="{00000000-0000-0000-0000-000000000000}"/>
  <workbookProtection workbookAlgorithmName="SHA-512" workbookHashValue="JIA0X3TMjoyS5xYXrXmUrAUNVy+Q3NOxzIeHxmAf2DrJ+rsIFF8+A7tDuaPoQfL/e3ey1tGE44p5Dl3hILNxoQ==" workbookSaltValue="mXpem4vnqmd7pAX7RsWzJQ==" workbookSpinCount="100000" lockStructure="1"/>
  <bookViews>
    <workbookView xWindow="1848" yWindow="1848" windowWidth="17280" windowHeight="8880" xr2:uid="{B48BDF4B-DF20-40DA-A10E-FD41C507ACBD}"/>
  </bookViews>
  <sheets>
    <sheet name="Données Générales" sheetId="3" r:id="rId1"/>
    <sheet name="Diagnostic Détaillé" sheetId="1" r:id="rId2"/>
    <sheet name="Moyens Financiers" sheetId="5" r:id="rId3"/>
    <sheet name="Moyens Humains" sheetId="6" r:id="rId4"/>
  </sheets>
  <definedNames>
    <definedName name="CAT_ERP">#REF!</definedName>
    <definedName name="ON">#REF!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4" i="3" l="1"/>
  <c r="Q134" i="3"/>
  <c r="P134" i="3"/>
  <c r="M134" i="3"/>
  <c r="L134" i="3"/>
  <c r="K134" i="3"/>
  <c r="R98" i="3" l="1"/>
  <c r="T85" i="3" l="1"/>
  <c r="L118" i="3" l="1"/>
  <c r="R46" i="3" l="1"/>
  <c r="O46" i="3" l="1"/>
  <c r="N33" i="3"/>
  <c r="T131" i="3" l="1"/>
  <c r="T129" i="3"/>
  <c r="T122" i="3"/>
  <c r="T123" i="3"/>
  <c r="T124" i="3"/>
  <c r="T125" i="3"/>
  <c r="T126" i="3"/>
  <c r="T127" i="3"/>
  <c r="T121" i="3"/>
  <c r="T112" i="3"/>
  <c r="T113" i="3"/>
  <c r="T114" i="3"/>
  <c r="T115" i="3"/>
  <c r="T116" i="3"/>
  <c r="T117" i="3"/>
  <c r="T118" i="3"/>
  <c r="T119" i="3"/>
  <c r="T111" i="3"/>
  <c r="T108" i="3"/>
  <c r="T106" i="3"/>
  <c r="T104" i="3"/>
  <c r="T100" i="3"/>
  <c r="T101" i="3"/>
  <c r="T102" i="3"/>
  <c r="T99" i="3"/>
  <c r="T95" i="3"/>
  <c r="T96" i="3"/>
  <c r="T94" i="3"/>
  <c r="T92" i="3"/>
  <c r="T90" i="3"/>
  <c r="T88" i="3"/>
  <c r="T79" i="3"/>
  <c r="T80" i="3"/>
  <c r="T81" i="3"/>
  <c r="T82" i="3"/>
  <c r="T83" i="3"/>
  <c r="T78" i="3"/>
  <c r="T75" i="3"/>
  <c r="T73" i="3"/>
  <c r="T70" i="3"/>
  <c r="T71" i="3"/>
  <c r="T69" i="3"/>
  <c r="T62" i="3"/>
  <c r="T63" i="3"/>
  <c r="T64" i="3"/>
  <c r="T65" i="3"/>
  <c r="T66" i="3"/>
  <c r="T67" i="3"/>
  <c r="T61" i="3"/>
  <c r="T48" i="3"/>
  <c r="T49" i="3"/>
  <c r="T50" i="3"/>
  <c r="T51" i="3"/>
  <c r="T52" i="3"/>
  <c r="T53" i="3"/>
  <c r="T54" i="3"/>
  <c r="T55" i="3"/>
  <c r="T56" i="3"/>
  <c r="T57" i="3"/>
  <c r="T58" i="3"/>
  <c r="T59" i="3"/>
  <c r="T47" i="3"/>
  <c r="T7" i="3"/>
  <c r="T8" i="3"/>
  <c r="T9" i="3"/>
  <c r="T10" i="3"/>
  <c r="T11" i="3"/>
  <c r="T12" i="3"/>
  <c r="T13" i="3"/>
  <c r="T14" i="3"/>
  <c r="T15" i="3"/>
  <c r="T16" i="3"/>
  <c r="T17" i="3"/>
  <c r="T18" i="3"/>
  <c r="T19" i="3"/>
  <c r="T20" i="3"/>
  <c r="T21" i="3"/>
  <c r="T22" i="3"/>
  <c r="T23" i="3"/>
  <c r="T24" i="3"/>
  <c r="T25" i="3"/>
  <c r="T26" i="3"/>
  <c r="T27" i="3"/>
  <c r="T28" i="3"/>
  <c r="T29" i="3"/>
  <c r="T30" i="3"/>
  <c r="T31" i="3"/>
  <c r="T32" i="3"/>
  <c r="T33" i="3"/>
  <c r="T34" i="3"/>
  <c r="T35" i="3"/>
  <c r="T36" i="3"/>
  <c r="T37" i="3"/>
  <c r="T38" i="3"/>
  <c r="T39" i="3"/>
  <c r="T40" i="3"/>
  <c r="T41" i="3"/>
  <c r="T42" i="3"/>
  <c r="T43" i="3"/>
  <c r="T44" i="3"/>
  <c r="T45" i="3"/>
  <c r="T6" i="3"/>
  <c r="S131" i="3"/>
  <c r="S129" i="3"/>
  <c r="S122" i="3"/>
  <c r="S123" i="3"/>
  <c r="S124" i="3"/>
  <c r="S125" i="3"/>
  <c r="S126" i="3"/>
  <c r="S127" i="3"/>
  <c r="S121" i="3"/>
  <c r="S112" i="3"/>
  <c r="S113" i="3"/>
  <c r="S114" i="3"/>
  <c r="S115" i="3"/>
  <c r="S116" i="3"/>
  <c r="S117" i="3"/>
  <c r="S118" i="3"/>
  <c r="S119" i="3"/>
  <c r="S111" i="3"/>
  <c r="S108" i="3"/>
  <c r="S106" i="3"/>
  <c r="S100" i="3"/>
  <c r="S101" i="3"/>
  <c r="S102" i="3"/>
  <c r="S99" i="3"/>
  <c r="S95" i="3"/>
  <c r="S96" i="3"/>
  <c r="S94" i="3"/>
  <c r="S92" i="3"/>
  <c r="S90" i="3"/>
  <c r="S88" i="3"/>
  <c r="S79" i="3"/>
  <c r="S80" i="3"/>
  <c r="S81" i="3"/>
  <c r="S82" i="3"/>
  <c r="S83" i="3"/>
  <c r="S78" i="3"/>
  <c r="S75" i="3"/>
  <c r="S73" i="3"/>
  <c r="S70" i="3"/>
  <c r="S71" i="3"/>
  <c r="S69" i="3"/>
  <c r="S62" i="3"/>
  <c r="S63" i="3"/>
  <c r="S64" i="3"/>
  <c r="S65" i="3"/>
  <c r="S66" i="3"/>
  <c r="S67" i="3"/>
  <c r="S61" i="3"/>
  <c r="S48" i="3"/>
  <c r="S49" i="3"/>
  <c r="S50" i="3"/>
  <c r="S51" i="3"/>
  <c r="S52" i="3"/>
  <c r="S53" i="3"/>
  <c r="S54" i="3"/>
  <c r="S55" i="3"/>
  <c r="S56" i="3"/>
  <c r="S57" i="3"/>
  <c r="S58" i="3"/>
  <c r="S59" i="3"/>
  <c r="S47" i="3"/>
  <c r="S14" i="3"/>
  <c r="S15" i="3"/>
  <c r="S16" i="3"/>
  <c r="S17" i="3"/>
  <c r="S18" i="3"/>
  <c r="S19" i="3"/>
  <c r="S20" i="3"/>
  <c r="S21" i="3"/>
  <c r="S22" i="3"/>
  <c r="S23" i="3"/>
  <c r="S24" i="3"/>
  <c r="S25" i="3"/>
  <c r="S26" i="3"/>
  <c r="S27" i="3"/>
  <c r="S28" i="3"/>
  <c r="S29" i="3"/>
  <c r="S30" i="3"/>
  <c r="S31" i="3"/>
  <c r="S32" i="3"/>
  <c r="S33" i="3"/>
  <c r="S34" i="3"/>
  <c r="S35" i="3"/>
  <c r="S36" i="3"/>
  <c r="S37" i="3"/>
  <c r="S38" i="3"/>
  <c r="S39" i="3"/>
  <c r="S40" i="3"/>
  <c r="S41" i="3"/>
  <c r="S42" i="3"/>
  <c r="S43" i="3"/>
  <c r="S44" i="3"/>
  <c r="S45" i="3"/>
  <c r="S13" i="3"/>
  <c r="S12" i="3"/>
  <c r="S11" i="3"/>
  <c r="S7" i="3"/>
  <c r="S8" i="3"/>
  <c r="S9" i="3"/>
  <c r="S10" i="3"/>
  <c r="S6" i="3"/>
  <c r="M120" i="3"/>
  <c r="M46" i="3"/>
  <c r="N6" i="3"/>
  <c r="L6" i="3"/>
  <c r="R76" i="3" l="1"/>
  <c r="H23" i="5" l="1"/>
  <c r="G23" i="5"/>
  <c r="F23" i="5"/>
  <c r="E23" i="5"/>
  <c r="D23" i="5"/>
  <c r="K23" i="5"/>
  <c r="J23" i="5"/>
  <c r="I23" i="5"/>
  <c r="N43" i="3" l="1"/>
  <c r="K120" i="3"/>
  <c r="K60" i="3"/>
  <c r="K46" i="3"/>
  <c r="L88" i="3" l="1"/>
  <c r="N88" i="3"/>
  <c r="M132" i="3" l="1"/>
  <c r="M130" i="3"/>
  <c r="M128" i="3"/>
  <c r="O103" i="3"/>
  <c r="M103" i="3"/>
  <c r="M109" i="3"/>
  <c r="M105" i="3"/>
  <c r="M107" i="3"/>
  <c r="M110" i="3" l="1"/>
  <c r="M133" i="3"/>
  <c r="M97" i="3"/>
  <c r="M93" i="3"/>
  <c r="M91" i="3"/>
  <c r="M89" i="3"/>
  <c r="N83" i="3"/>
  <c r="M86" i="3"/>
  <c r="M84" i="3"/>
  <c r="O76" i="3"/>
  <c r="P76" i="3"/>
  <c r="O74" i="3"/>
  <c r="O72" i="3"/>
  <c r="M72" i="3"/>
  <c r="M74" i="3"/>
  <c r="M76" i="3"/>
  <c r="O132" i="3"/>
  <c r="P130" i="3"/>
  <c r="O130" i="3"/>
  <c r="O128" i="3"/>
  <c r="O120" i="3"/>
  <c r="L117" i="3"/>
  <c r="N117" i="3"/>
  <c r="N118" i="3"/>
  <c r="U118" i="3" s="1"/>
  <c r="O109" i="3"/>
  <c r="O107" i="3"/>
  <c r="O105" i="3"/>
  <c r="O91" i="3"/>
  <c r="O97" i="3"/>
  <c r="O89" i="3"/>
  <c r="O93" i="3"/>
  <c r="O86" i="3"/>
  <c r="O84" i="3"/>
  <c r="N131" i="3"/>
  <c r="N129" i="3"/>
  <c r="N122" i="3"/>
  <c r="N123" i="3"/>
  <c r="N124" i="3"/>
  <c r="N125" i="3"/>
  <c r="N126" i="3"/>
  <c r="N127" i="3"/>
  <c r="N121" i="3"/>
  <c r="N112" i="3"/>
  <c r="N113" i="3"/>
  <c r="N114" i="3"/>
  <c r="N115" i="3"/>
  <c r="N116" i="3"/>
  <c r="N111" i="3"/>
  <c r="N108" i="3"/>
  <c r="N106" i="3"/>
  <c r="N104" i="3"/>
  <c r="N100" i="3"/>
  <c r="N101" i="3"/>
  <c r="N99" i="3"/>
  <c r="N95" i="3"/>
  <c r="N96" i="3"/>
  <c r="N94" i="3"/>
  <c r="N92" i="3"/>
  <c r="N90" i="3"/>
  <c r="N85" i="3"/>
  <c r="N79" i="3"/>
  <c r="N80" i="3"/>
  <c r="N81" i="3"/>
  <c r="N82" i="3"/>
  <c r="N78" i="3"/>
  <c r="N73" i="3"/>
  <c r="N70" i="3"/>
  <c r="N71" i="3"/>
  <c r="N69" i="3"/>
  <c r="N62" i="3"/>
  <c r="N63" i="3"/>
  <c r="N64" i="3"/>
  <c r="N65" i="3"/>
  <c r="N66" i="3"/>
  <c r="N67" i="3"/>
  <c r="N61" i="3"/>
  <c r="N48" i="3"/>
  <c r="N49" i="3"/>
  <c r="N50" i="3"/>
  <c r="N51" i="3"/>
  <c r="N52" i="3"/>
  <c r="N53" i="3"/>
  <c r="N54" i="3"/>
  <c r="N55" i="3"/>
  <c r="N56" i="3"/>
  <c r="N57" i="3"/>
  <c r="N58" i="3"/>
  <c r="N59" i="3"/>
  <c r="N47" i="3"/>
  <c r="N7" i="3"/>
  <c r="N8" i="3"/>
  <c r="N9" i="3"/>
  <c r="N10" i="3"/>
  <c r="N11" i="3"/>
  <c r="N12" i="3"/>
  <c r="N13" i="3"/>
  <c r="N14" i="3"/>
  <c r="N15" i="3"/>
  <c r="N16" i="3"/>
  <c r="N17" i="3"/>
  <c r="N18" i="3"/>
  <c r="N19" i="3"/>
  <c r="N20" i="3"/>
  <c r="N21" i="3"/>
  <c r="N22" i="3"/>
  <c r="N23" i="3"/>
  <c r="N24" i="3"/>
  <c r="N25" i="3"/>
  <c r="N26" i="3"/>
  <c r="N27" i="3"/>
  <c r="N28" i="3"/>
  <c r="N29" i="3"/>
  <c r="N30" i="3"/>
  <c r="N31" i="3"/>
  <c r="N32" i="3"/>
  <c r="N34" i="3"/>
  <c r="N35" i="3"/>
  <c r="N36" i="3"/>
  <c r="N37" i="3"/>
  <c r="N38" i="3"/>
  <c r="N39" i="3"/>
  <c r="N40" i="3"/>
  <c r="N41" i="3"/>
  <c r="N42" i="3"/>
  <c r="N44" i="3"/>
  <c r="N45" i="3"/>
  <c r="O77" i="3" l="1"/>
  <c r="O110" i="3"/>
  <c r="M87" i="3"/>
  <c r="U117" i="3"/>
  <c r="O133" i="3"/>
  <c r="L131" i="3" l="1"/>
  <c r="L129" i="3"/>
  <c r="L122" i="3"/>
  <c r="L123" i="3"/>
  <c r="L124" i="3"/>
  <c r="L125" i="3"/>
  <c r="L126" i="3"/>
  <c r="L127" i="3"/>
  <c r="L121" i="3"/>
  <c r="L112" i="3"/>
  <c r="L113" i="3"/>
  <c r="L114" i="3"/>
  <c r="L115" i="3"/>
  <c r="L116" i="3"/>
  <c r="L111" i="3"/>
  <c r="L108" i="3"/>
  <c r="L106" i="3"/>
  <c r="L104" i="3"/>
  <c r="L100" i="3"/>
  <c r="L101" i="3"/>
  <c r="L99" i="3"/>
  <c r="L95" i="3"/>
  <c r="L96" i="3"/>
  <c r="L94" i="3"/>
  <c r="L92" i="3"/>
  <c r="L90" i="3"/>
  <c r="L85" i="3"/>
  <c r="L79" i="3"/>
  <c r="L80" i="3"/>
  <c r="L81" i="3"/>
  <c r="L82" i="3"/>
  <c r="L83" i="3"/>
  <c r="L78" i="3"/>
  <c r="L75" i="3"/>
  <c r="L73" i="3"/>
  <c r="L69" i="3"/>
  <c r="L70" i="3"/>
  <c r="L71" i="3"/>
  <c r="L62" i="3"/>
  <c r="L63" i="3"/>
  <c r="L64" i="3"/>
  <c r="L65" i="3"/>
  <c r="L66" i="3"/>
  <c r="L67" i="3"/>
  <c r="L61" i="3"/>
  <c r="L48" i="3"/>
  <c r="L49" i="3"/>
  <c r="L50" i="3"/>
  <c r="L51" i="3"/>
  <c r="L52" i="3"/>
  <c r="L53" i="3"/>
  <c r="L54" i="3"/>
  <c r="L55" i="3"/>
  <c r="L56" i="3"/>
  <c r="L57" i="3"/>
  <c r="L58" i="3"/>
  <c r="L59" i="3"/>
  <c r="L47" i="3"/>
  <c r="L34" i="3"/>
  <c r="L35" i="3"/>
  <c r="L36" i="3"/>
  <c r="L37" i="3"/>
  <c r="L38" i="3"/>
  <c r="L39" i="3"/>
  <c r="L40" i="3"/>
  <c r="L41" i="3"/>
  <c r="L42" i="3"/>
  <c r="L43" i="3"/>
  <c r="L44" i="3"/>
  <c r="L45" i="3"/>
  <c r="U45" i="3" s="1"/>
  <c r="L7" i="3"/>
  <c r="L8" i="3"/>
  <c r="L9" i="3"/>
  <c r="L10" i="3"/>
  <c r="L11" i="3"/>
  <c r="L12" i="3"/>
  <c r="L13" i="3"/>
  <c r="L14" i="3"/>
  <c r="L15" i="3"/>
  <c r="L16" i="3"/>
  <c r="L17" i="3"/>
  <c r="L18" i="3"/>
  <c r="L19" i="3"/>
  <c r="L20" i="3"/>
  <c r="L21" i="3"/>
  <c r="L22" i="3"/>
  <c r="L23" i="3"/>
  <c r="L24" i="3"/>
  <c r="L25" i="3"/>
  <c r="L26" i="3"/>
  <c r="L27" i="3"/>
  <c r="L28" i="3"/>
  <c r="L29" i="3"/>
  <c r="L30" i="3"/>
  <c r="L31" i="3"/>
  <c r="L32" i="3"/>
  <c r="L33" i="3"/>
  <c r="M77" i="3"/>
  <c r="N77" i="3"/>
  <c r="N120" i="3"/>
  <c r="P120" i="3"/>
  <c r="M98" i="3"/>
  <c r="O98" i="3"/>
  <c r="O87" i="3"/>
  <c r="M68" i="3"/>
  <c r="O68" i="3"/>
  <c r="L120" i="3" l="1"/>
  <c r="U120" i="3"/>
  <c r="M60" i="3"/>
  <c r="O60" i="3"/>
  <c r="O134" i="3" l="1"/>
  <c r="Q46" i="3" l="1"/>
  <c r="T46" i="3" s="1"/>
  <c r="S104" i="3" l="1"/>
  <c r="S85" i="3"/>
  <c r="Q76" i="3" l="1"/>
  <c r="T76" i="3" s="1"/>
  <c r="T5" i="3"/>
  <c r="L132" i="3"/>
  <c r="L130" i="3"/>
  <c r="L109" i="3"/>
  <c r="L107" i="3"/>
  <c r="L105" i="3"/>
  <c r="L93" i="3"/>
  <c r="L91" i="3"/>
  <c r="L89" i="3"/>
  <c r="L86" i="3"/>
  <c r="L76" i="3"/>
  <c r="L74" i="3"/>
  <c r="L60" i="3" l="1"/>
  <c r="L46" i="3"/>
  <c r="L128" i="3"/>
  <c r="L133" i="3" s="1"/>
  <c r="L68" i="3"/>
  <c r="L72" i="3"/>
  <c r="L77" i="3" s="1"/>
  <c r="L84" i="3"/>
  <c r="L87" i="3" s="1"/>
  <c r="L97" i="3"/>
  <c r="L98" i="3" s="1"/>
  <c r="U104" i="3" l="1"/>
  <c r="U106" i="3"/>
  <c r="U54" i="3"/>
  <c r="F20" i="6" l="1"/>
  <c r="F9" i="6"/>
  <c r="U131" i="3"/>
  <c r="U129" i="3"/>
  <c r="U126" i="3"/>
  <c r="U125" i="3"/>
  <c r="U124" i="3"/>
  <c r="U123" i="3"/>
  <c r="U122" i="3"/>
  <c r="U121" i="3"/>
  <c r="U108" i="3"/>
  <c r="N107" i="3"/>
  <c r="U100" i="3"/>
  <c r="U99" i="3"/>
  <c r="U95" i="3"/>
  <c r="U94" i="3"/>
  <c r="U92" i="3"/>
  <c r="U90" i="3"/>
  <c r="U88" i="3"/>
  <c r="U85" i="3"/>
  <c r="U83" i="3"/>
  <c r="U82" i="3"/>
  <c r="U81" i="3"/>
  <c r="U80" i="3"/>
  <c r="U79" i="3"/>
  <c r="U78" i="3"/>
  <c r="U75" i="3"/>
  <c r="U73" i="3"/>
  <c r="U71" i="3"/>
  <c r="U70" i="3"/>
  <c r="U69" i="3"/>
  <c r="U66" i="3"/>
  <c r="U65" i="3"/>
  <c r="U64" i="3"/>
  <c r="U63" i="3"/>
  <c r="U62" i="3"/>
  <c r="N60" i="3"/>
  <c r="U60" i="3" s="1"/>
  <c r="U51" i="3"/>
  <c r="U50" i="3"/>
  <c r="U49" i="3"/>
  <c r="U48" i="3"/>
  <c r="U47" i="3"/>
  <c r="U42" i="3"/>
  <c r="U38" i="3"/>
  <c r="U37" i="3"/>
  <c r="U36" i="3"/>
  <c r="U35" i="3"/>
  <c r="U34" i="3"/>
  <c r="U33" i="3"/>
  <c r="U29" i="3"/>
  <c r="U28" i="3"/>
  <c r="U27" i="3"/>
  <c r="U25" i="3"/>
  <c r="U24" i="3"/>
  <c r="U23" i="3"/>
  <c r="U22" i="3"/>
  <c r="U21" i="3"/>
  <c r="U20" i="3"/>
  <c r="U19" i="3"/>
  <c r="U18" i="3"/>
  <c r="U17" i="3"/>
  <c r="U16" i="3"/>
  <c r="U15" i="3"/>
  <c r="U14" i="3"/>
  <c r="U13" i="3"/>
  <c r="U12" i="3"/>
  <c r="U11" i="3"/>
  <c r="U10" i="3"/>
  <c r="U9" i="3"/>
  <c r="U8" i="3"/>
  <c r="U7" i="3"/>
  <c r="U6" i="3"/>
  <c r="K102" i="3"/>
  <c r="R107" i="3"/>
  <c r="Q107" i="3"/>
  <c r="T107" i="3" s="1"/>
  <c r="P107" i="3"/>
  <c r="K107" i="3"/>
  <c r="N102" i="3" l="1"/>
  <c r="L102" i="3"/>
  <c r="L103" i="3" s="1"/>
  <c r="L110" i="3" s="1"/>
  <c r="U61" i="3"/>
  <c r="N68" i="3"/>
  <c r="U68" i="3" s="1"/>
  <c r="U112" i="3"/>
  <c r="U113" i="3"/>
  <c r="U114" i="3"/>
  <c r="U115" i="3"/>
  <c r="U116" i="3"/>
  <c r="U111" i="3"/>
  <c r="U107" i="3"/>
  <c r="S107" i="3"/>
  <c r="K76" i="3" l="1"/>
  <c r="N76" i="3"/>
  <c r="U76" i="3" s="1"/>
  <c r="P103" i="3" l="1"/>
  <c r="P105" i="3"/>
  <c r="P109" i="3"/>
  <c r="K109" i="3"/>
  <c r="N109" i="3"/>
  <c r="U109" i="3" s="1"/>
  <c r="K105" i="3"/>
  <c r="N105" i="3"/>
  <c r="U105" i="3" s="1"/>
  <c r="Q103" i="3"/>
  <c r="T103" i="3" s="1"/>
  <c r="R103" i="3"/>
  <c r="N103" i="3"/>
  <c r="U103" i="3" s="1"/>
  <c r="K103" i="3"/>
  <c r="K89" i="3"/>
  <c r="N74" i="3"/>
  <c r="U74" i="3" s="1"/>
  <c r="P46" i="3"/>
  <c r="P60" i="3"/>
  <c r="P72" i="3"/>
  <c r="P74" i="3"/>
  <c r="P84" i="3"/>
  <c r="P86" i="3"/>
  <c r="P97" i="3"/>
  <c r="P98" i="3" s="1"/>
  <c r="P93" i="3"/>
  <c r="P91" i="3"/>
  <c r="P89" i="3"/>
  <c r="K84" i="3"/>
  <c r="K110" i="3" l="1"/>
  <c r="P110" i="3"/>
  <c r="N110" i="3"/>
  <c r="U110" i="3" s="1"/>
  <c r="S103" i="3"/>
  <c r="N84" i="3" l="1"/>
  <c r="U84" i="3" s="1"/>
  <c r="F35" i="6" l="1"/>
  <c r="D34" i="6"/>
  <c r="D36" i="6"/>
  <c r="D40" i="6"/>
  <c r="D38" i="6"/>
  <c r="D37" i="6"/>
  <c r="D41" i="6"/>
  <c r="D42" i="6"/>
  <c r="D39" i="6"/>
  <c r="D32" i="6"/>
  <c r="D28" i="6"/>
  <c r="D30" i="6"/>
  <c r="D21" i="6"/>
  <c r="D25" i="6"/>
  <c r="D31" i="6"/>
  <c r="D26" i="6"/>
  <c r="D23" i="6"/>
  <c r="D16" i="6"/>
  <c r="D27" i="6"/>
  <c r="D22" i="6"/>
  <c r="D29" i="6"/>
  <c r="D24" i="6"/>
  <c r="D17" i="6"/>
  <c r="D15" i="6"/>
  <c r="D13" i="6"/>
  <c r="D18" i="6"/>
  <c r="D19" i="6"/>
  <c r="D12" i="6"/>
  <c r="D14" i="6"/>
  <c r="D11" i="6"/>
  <c r="D10" i="6"/>
  <c r="D20" i="6" l="1"/>
  <c r="D35" i="6"/>
  <c r="D33" i="6" s="1"/>
  <c r="F33" i="6"/>
  <c r="D9" i="6"/>
  <c r="E9" i="6" s="1"/>
  <c r="D6" i="6" l="1"/>
  <c r="D8" i="6"/>
  <c r="D5" i="6"/>
  <c r="E20" i="6"/>
  <c r="D7" i="6"/>
  <c r="F4" i="6"/>
  <c r="I5" i="5"/>
  <c r="J5" i="5"/>
  <c r="K5" i="5"/>
  <c r="I8" i="5"/>
  <c r="J8" i="5"/>
  <c r="K8" i="5"/>
  <c r="I16" i="5"/>
  <c r="J16" i="5"/>
  <c r="J15" i="5" s="1"/>
  <c r="K16" i="5"/>
  <c r="K15" i="5" s="1"/>
  <c r="J25" i="5"/>
  <c r="I26" i="5"/>
  <c r="J26" i="5"/>
  <c r="K26" i="5"/>
  <c r="I31" i="5"/>
  <c r="I25" i="5" s="1"/>
  <c r="J31" i="5"/>
  <c r="K31" i="5"/>
  <c r="K25" i="5" s="1"/>
  <c r="H31" i="5"/>
  <c r="H25" i="5" s="1"/>
  <c r="G31" i="5"/>
  <c r="G25" i="5" s="1"/>
  <c r="F31" i="5"/>
  <c r="E31" i="5"/>
  <c r="D31" i="5"/>
  <c r="D25" i="5" s="1"/>
  <c r="C31" i="5"/>
  <c r="H26" i="5"/>
  <c r="G26" i="5"/>
  <c r="F26" i="5"/>
  <c r="E26" i="5"/>
  <c r="D26" i="5"/>
  <c r="C26" i="5"/>
  <c r="F25" i="5"/>
  <c r="E25" i="5"/>
  <c r="C25" i="5"/>
  <c r="H16" i="5"/>
  <c r="H15" i="5" s="1"/>
  <c r="G16" i="5"/>
  <c r="G15" i="5" s="1"/>
  <c r="F16" i="5"/>
  <c r="E16" i="5"/>
  <c r="D16" i="5"/>
  <c r="D15" i="5" s="1"/>
  <c r="C16" i="5"/>
  <c r="L11" i="5"/>
  <c r="L10" i="5"/>
  <c r="L9" i="5"/>
  <c r="H8" i="5"/>
  <c r="G8" i="5"/>
  <c r="F8" i="5"/>
  <c r="E8" i="5"/>
  <c r="D8" i="5"/>
  <c r="C8" i="5"/>
  <c r="L8" i="5" s="1"/>
  <c r="L7" i="5"/>
  <c r="L6" i="5"/>
  <c r="H5" i="5"/>
  <c r="G5" i="5"/>
  <c r="G4" i="5" s="1"/>
  <c r="F5" i="5"/>
  <c r="F4" i="5" s="1"/>
  <c r="E5" i="5"/>
  <c r="E4" i="5" s="1"/>
  <c r="D5" i="5"/>
  <c r="D4" i="5" s="1"/>
  <c r="C5" i="5"/>
  <c r="C4" i="5" s="1"/>
  <c r="H4" i="5"/>
  <c r="H14" i="5" l="1"/>
  <c r="L4" i="5"/>
  <c r="C15" i="5"/>
  <c r="C14" i="5" s="1"/>
  <c r="I15" i="5"/>
  <c r="I14" i="5" s="1"/>
  <c r="L5" i="5"/>
  <c r="E14" i="5"/>
  <c r="E15" i="5"/>
  <c r="J4" i="5"/>
  <c r="F15" i="5"/>
  <c r="F14" i="5" s="1"/>
  <c r="I4" i="5"/>
  <c r="G14" i="5"/>
  <c r="K4" i="5"/>
  <c r="D4" i="6"/>
  <c r="E4" i="6" s="1"/>
  <c r="E33" i="6"/>
  <c r="F43" i="6"/>
  <c r="K14" i="5"/>
  <c r="J14" i="5"/>
  <c r="D14" i="5"/>
  <c r="D43" i="6" l="1"/>
  <c r="E43" i="6" s="1"/>
  <c r="R74" i="3"/>
  <c r="Q74" i="3"/>
  <c r="T74" i="3" s="1"/>
  <c r="K74" i="3"/>
  <c r="S76" i="3"/>
  <c r="R86" i="3"/>
  <c r="S86" i="3" s="1"/>
  <c r="Q86" i="3"/>
  <c r="T86" i="3" s="1"/>
  <c r="K86" i="3"/>
  <c r="K87" i="3" s="1"/>
  <c r="N86" i="3"/>
  <c r="R109" i="3"/>
  <c r="Q109" i="3"/>
  <c r="T109" i="3" s="1"/>
  <c r="R105" i="3"/>
  <c r="Q105" i="3"/>
  <c r="T105" i="3" s="1"/>
  <c r="R91" i="3"/>
  <c r="Q91" i="3"/>
  <c r="T91" i="3" s="1"/>
  <c r="K91" i="3"/>
  <c r="N91" i="3"/>
  <c r="U91" i="3" s="1"/>
  <c r="R89" i="3"/>
  <c r="Q89" i="3"/>
  <c r="T89" i="3" s="1"/>
  <c r="N89" i="3"/>
  <c r="U89" i="3" s="1"/>
  <c r="R93" i="3"/>
  <c r="Q93" i="3"/>
  <c r="T93" i="3" s="1"/>
  <c r="K93" i="3"/>
  <c r="N93" i="3"/>
  <c r="U93" i="3" s="1"/>
  <c r="R97" i="3"/>
  <c r="Q97" i="3"/>
  <c r="K97" i="3"/>
  <c r="R132" i="3"/>
  <c r="Q132" i="3"/>
  <c r="T132" i="3" s="1"/>
  <c r="K132" i="3"/>
  <c r="N132" i="3"/>
  <c r="U132" i="3" s="1"/>
  <c r="R130" i="3"/>
  <c r="Q130" i="3"/>
  <c r="T130" i="3" s="1"/>
  <c r="K130" i="3"/>
  <c r="N130" i="3"/>
  <c r="U130" i="3" s="1"/>
  <c r="R128" i="3"/>
  <c r="Q128" i="3"/>
  <c r="T128" i="3" s="1"/>
  <c r="P128" i="3"/>
  <c r="K128" i="3"/>
  <c r="N128" i="3"/>
  <c r="U128" i="3" s="1"/>
  <c r="R120" i="3"/>
  <c r="R84" i="3"/>
  <c r="Q84" i="3"/>
  <c r="T84" i="3" s="1"/>
  <c r="R72" i="3"/>
  <c r="Q72" i="3"/>
  <c r="T72" i="3" s="1"/>
  <c r="K72" i="3"/>
  <c r="N72" i="3"/>
  <c r="U72" i="3" s="1"/>
  <c r="Q68" i="3"/>
  <c r="T68" i="3" s="1"/>
  <c r="P68" i="3"/>
  <c r="K68" i="3"/>
  <c r="Q60" i="3"/>
  <c r="T60" i="3" s="1"/>
  <c r="S5" i="3"/>
  <c r="N87" i="3" l="1"/>
  <c r="U87" i="3" s="1"/>
  <c r="U86" i="3"/>
  <c r="Q98" i="3"/>
  <c r="T98" i="3" s="1"/>
  <c r="T97" i="3"/>
  <c r="Q110" i="3"/>
  <c r="T110" i="3" s="1"/>
  <c r="R110" i="3"/>
  <c r="K133" i="3"/>
  <c r="N133" i="3"/>
  <c r="U133" i="3" s="1"/>
  <c r="R133" i="3"/>
  <c r="Q133" i="3"/>
  <c r="T133" i="3" s="1"/>
  <c r="P132" i="3"/>
  <c r="P133" i="3" s="1"/>
  <c r="S109" i="3"/>
  <c r="K98" i="3"/>
  <c r="Q87" i="3"/>
  <c r="T87" i="3" s="1"/>
  <c r="R87" i="3"/>
  <c r="U77" i="3"/>
  <c r="K77" i="3"/>
  <c r="Q77" i="3"/>
  <c r="T77" i="3" s="1"/>
  <c r="R77" i="3"/>
  <c r="S97" i="3"/>
  <c r="S84" i="3"/>
  <c r="S132" i="3"/>
  <c r="R68" i="3"/>
  <c r="S68" i="3" s="1"/>
  <c r="S120" i="3"/>
  <c r="S72" i="3"/>
  <c r="S130" i="3"/>
  <c r="S93" i="3"/>
  <c r="S128" i="3"/>
  <c r="S89" i="3"/>
  <c r="S91" i="3"/>
  <c r="S74" i="3"/>
  <c r="S105" i="3"/>
  <c r="N97" i="3"/>
  <c r="S46" i="3"/>
  <c r="N98" i="3" l="1"/>
  <c r="U98" i="3" s="1"/>
  <c r="U97" i="3"/>
  <c r="S98" i="3"/>
  <c r="S110" i="3"/>
  <c r="S133" i="3"/>
  <c r="S87" i="3"/>
  <c r="S77" i="3"/>
  <c r="R60" i="3"/>
  <c r="N46" i="3"/>
  <c r="N134" i="3" l="1"/>
  <c r="U46" i="3"/>
  <c r="Q120" i="3"/>
  <c r="S134" i="3"/>
  <c r="S60" i="3"/>
  <c r="T134" i="3" l="1"/>
  <c r="T120" i="3"/>
  <c r="N139" i="3"/>
  <c r="P87" i="3" l="1"/>
  <c r="P77" i="3" s="1"/>
</calcChain>
</file>

<file path=xl/sharedStrings.xml><?xml version="1.0" encoding="utf-8"?>
<sst xmlns="http://schemas.openxmlformats.org/spreadsheetml/2006/main" count="1851" uniqueCount="725">
  <si>
    <t>Direction de l'immobilier de l'Etat</t>
  </si>
  <si>
    <t xml:space="preserve">SDP Relevées de la source A3D </t>
  </si>
  <si>
    <r>
      <t xml:space="preserve">Base </t>
    </r>
    <r>
      <rPr>
        <sz val="11"/>
        <color rgb="FFFF0000"/>
        <rFont val="Aptos Narrow"/>
        <family val="2"/>
        <scheme val="minor"/>
      </rPr>
      <t>SUN 
0,63 SDP</t>
    </r>
    <r>
      <rPr>
        <sz val="11"/>
        <color theme="1"/>
        <rFont val="Aptos Narrow"/>
        <family val="2"/>
        <scheme val="minor"/>
      </rPr>
      <t xml:space="preserve"> en attendant fiabilisation fin 2025</t>
    </r>
  </si>
  <si>
    <t>IDENTIFIANT CHORUS RE-FX BÂTIMENT / TERRAIN NON BÂTI</t>
  </si>
  <si>
    <t>LIBELLE BÂTIMENT / TERRAIN NON BÂTI</t>
  </si>
  <si>
    <t>DESTINATION</t>
  </si>
  <si>
    <t>UTILISATION PRINCIPALE BÂTIMENT / TERRAIN NON BÂTI</t>
  </si>
  <si>
    <t>STATUT D'OCCUPATION (type de contrat d'occupation)</t>
  </si>
  <si>
    <t>PROPRIETAIRE</t>
  </si>
  <si>
    <t>ADRESSE COMPLETE
(n° et nom de la rue)</t>
  </si>
  <si>
    <t>VILLE
(avec le code postal)</t>
  </si>
  <si>
    <t>MULTI-OCCUPATION (avec d'autres services de l'Etat ou EPN)</t>
  </si>
  <si>
    <t>SPL (SDP)</t>
  </si>
  <si>
    <t>SUB GENERALE</t>
  </si>
  <si>
    <t>SUB TERTIAIRE</t>
  </si>
  <si>
    <t>SUN</t>
  </si>
  <si>
    <t>SUN TERTAIRE</t>
  </si>
  <si>
    <t>CONTENANCE CADASTRALE (pour les terrains non bâtis)</t>
  </si>
  <si>
    <t>RESIDENTS</t>
  </si>
  <si>
    <t>POSTES DE TRAVAIL</t>
  </si>
  <si>
    <t>SUN/SUB</t>
  </si>
  <si>
    <t>CAMPUS</t>
  </si>
  <si>
    <t>GRAND CHÂTEAU</t>
  </si>
  <si>
    <t>Enseignement - Recherche</t>
  </si>
  <si>
    <t>Administration</t>
  </si>
  <si>
    <t>Mise à disposition</t>
  </si>
  <si>
    <t>Etat</t>
  </si>
  <si>
    <t>28 avenue de Valrose</t>
  </si>
  <si>
    <t>06108 Nice</t>
  </si>
  <si>
    <t>BU</t>
  </si>
  <si>
    <t>Bibliothèque</t>
  </si>
  <si>
    <t>LOGE &amp; THEATRE</t>
  </si>
  <si>
    <t>Enseignement</t>
  </si>
  <si>
    <t>CHIMIE TP</t>
  </si>
  <si>
    <t>CHIMIE RECHERCHE</t>
  </si>
  <si>
    <t>Recherche</t>
  </si>
  <si>
    <t>AMPHI CHIMIE</t>
  </si>
  <si>
    <t>Sans objet</t>
  </si>
  <si>
    <t>LABO BIOCHIMIE</t>
  </si>
  <si>
    <t>AMPHI PHYSIQUE 1</t>
  </si>
  <si>
    <t>AMPHI PHYSIQUE 2</t>
  </si>
  <si>
    <t>(TP PHYSIQUE) BATIMENT HIJ</t>
  </si>
  <si>
    <t>PHYSIQUE RECHERCHE</t>
  </si>
  <si>
    <t>(AMPHITHEATRES 5) BATIMENT L</t>
  </si>
  <si>
    <t>BATIMENT M</t>
  </si>
  <si>
    <t>BIOCHIMIE</t>
  </si>
  <si>
    <t>PETIT CHÂTEAU</t>
  </si>
  <si>
    <t>SCIENCES NAT RECHERCHE</t>
  </si>
  <si>
    <t>TP SCIENCES NAT</t>
  </si>
  <si>
    <t>AMPHI SCIENCES NAT</t>
  </si>
  <si>
    <t>ANIMALERIE</t>
  </si>
  <si>
    <t>LABO LMPC</t>
  </si>
  <si>
    <t>LMPC S/STATION</t>
  </si>
  <si>
    <t>Local technique</t>
  </si>
  <si>
    <t>Technique</t>
  </si>
  <si>
    <t>PETIT VALROSE</t>
  </si>
  <si>
    <t>CENTRE SPORTIF</t>
  </si>
  <si>
    <t>Vie étudiante</t>
  </si>
  <si>
    <t>Sport</t>
  </si>
  <si>
    <t>LABO MATHS DIEUDONNE</t>
  </si>
  <si>
    <t>CHAUFFERIE ANIMALERIE</t>
  </si>
  <si>
    <t>CABANE</t>
  </si>
  <si>
    <t>LOCAL BACCHUS</t>
  </si>
  <si>
    <t>SALLE BELVEDERE</t>
  </si>
  <si>
    <t>En cours de création</t>
  </si>
  <si>
    <t>TOUR SUD</t>
  </si>
  <si>
    <t>Logement</t>
  </si>
  <si>
    <t>TOUR NORD</t>
  </si>
  <si>
    <t xml:space="preserve">(CONCIERGERIE) BATIMENT A3 LOGE </t>
  </si>
  <si>
    <t>ISBA</t>
  </si>
  <si>
    <t>Vacant</t>
  </si>
  <si>
    <t>29 avenue de Valrose</t>
  </si>
  <si>
    <t>6109 Nice</t>
  </si>
  <si>
    <t>(INFIRMERIE) BATIMENT A5</t>
  </si>
  <si>
    <t>30 avenue de Valrose</t>
  </si>
  <si>
    <t>6110 Nice</t>
  </si>
  <si>
    <t>SERVICES TECHNIQUES BATIMENT A8</t>
  </si>
  <si>
    <t>31 avenue de Valrose</t>
  </si>
  <si>
    <t>6111 Nice</t>
  </si>
  <si>
    <t>POSTE LIVRAISON</t>
  </si>
  <si>
    <t>FOYER</t>
  </si>
  <si>
    <t>ATELIER</t>
  </si>
  <si>
    <t>DIEUDONNE</t>
  </si>
  <si>
    <t>FERME DE CALCUL</t>
  </si>
  <si>
    <t>BATIMENT F</t>
  </si>
  <si>
    <t>STOTAL VALROSE</t>
  </si>
  <si>
    <t>336245 / 390507</t>
  </si>
  <si>
    <t>BATIMENT  PRINCIPAL</t>
  </si>
  <si>
    <t>98 Boulevard Edouard Herriot</t>
  </si>
  <si>
    <t>06200 Nice</t>
  </si>
  <si>
    <t>394762 / 394763 / 390512 / 394764 / 394765 / 394766</t>
  </si>
  <si>
    <t>AMPHIS</t>
  </si>
  <si>
    <t>GYMNASE</t>
  </si>
  <si>
    <t>EXTENSION</t>
  </si>
  <si>
    <t>PARKING SUD</t>
  </si>
  <si>
    <t>PARKING NORD</t>
  </si>
  <si>
    <t>LOCAL TENNIS</t>
  </si>
  <si>
    <t>52 Route de Saint Antoine</t>
  </si>
  <si>
    <t>POINT DE LIVRAISON</t>
  </si>
  <si>
    <t>HT1</t>
  </si>
  <si>
    <t>HT2</t>
  </si>
  <si>
    <t>HT3</t>
  </si>
  <si>
    <t>CHAUFFERIE</t>
  </si>
  <si>
    <t>CROUS</t>
  </si>
  <si>
    <t>STOTAL CARLONE</t>
  </si>
  <si>
    <t>Avenue Doyen Louis Trotabas</t>
  </si>
  <si>
    <t>06000 Nice</t>
  </si>
  <si>
    <t>AMPHITHEATRES</t>
  </si>
  <si>
    <t>LES CEDRES</t>
  </si>
  <si>
    <t>VILLA PASSIFLORE</t>
  </si>
  <si>
    <t>PARKING</t>
  </si>
  <si>
    <t>STOTAL TROTABAS</t>
  </si>
  <si>
    <t>STAPS 1</t>
  </si>
  <si>
    <t>261 Route de Grenoble</t>
  </si>
  <si>
    <t>06205 Nice</t>
  </si>
  <si>
    <t>STAPS 2</t>
  </si>
  <si>
    <t>STAPS 3</t>
  </si>
  <si>
    <t>STOTAL STAPS</t>
  </si>
  <si>
    <t>IMREDD</t>
  </si>
  <si>
    <t>Ilot 1b avenue Pierre Isnard</t>
  </si>
  <si>
    <t>STOTAL IMREDD</t>
  </si>
  <si>
    <t>INPHYNI</t>
  </si>
  <si>
    <t>STOTAL INPHYNI</t>
  </si>
  <si>
    <t>STOTAL PLAINE DU VAR</t>
  </si>
  <si>
    <t>GALETTE</t>
  </si>
  <si>
    <t>28 Av. de Valombrose</t>
  </si>
  <si>
    <t>06107 Nice</t>
  </si>
  <si>
    <t>TOUR</t>
  </si>
  <si>
    <t>IUP SANTE</t>
  </si>
  <si>
    <t>PEMAV-CPEP</t>
  </si>
  <si>
    <t>AOT</t>
  </si>
  <si>
    <t>CHU</t>
  </si>
  <si>
    <t>30 Voie Romaine</t>
  </si>
  <si>
    <t>06300 Nice</t>
  </si>
  <si>
    <t>PEMED-PCV</t>
  </si>
  <si>
    <t>Transfert de gestion</t>
  </si>
  <si>
    <t>DELVALLE</t>
  </si>
  <si>
    <t>STOTAL PASTEUR</t>
  </si>
  <si>
    <t>ARCHIMED</t>
  </si>
  <si>
    <t>SDNT / Mise à disposition</t>
  </si>
  <si>
    <t>CHU / Etat</t>
  </si>
  <si>
    <t>151 Rte de Saint-Antoine</t>
  </si>
  <si>
    <t>STOTAL MEDECINE</t>
  </si>
  <si>
    <t>INSPE STEPHEN LIEGARD</t>
  </si>
  <si>
    <t>CD06</t>
  </si>
  <si>
    <t>43 avenue Stephen Liégard</t>
  </si>
  <si>
    <t>06100 Nice</t>
  </si>
  <si>
    <t>INSPE GEORGES V</t>
  </si>
  <si>
    <t>86 avenue Georges V</t>
  </si>
  <si>
    <t>06046 Nice</t>
  </si>
  <si>
    <t>INSPE LA SEYNE</t>
  </si>
  <si>
    <t>Boulevard Toussain Merle</t>
  </si>
  <si>
    <t>83507 La Seyne sur Mer</t>
  </si>
  <si>
    <t>INSPE LA SEYNE SUR MER</t>
  </si>
  <si>
    <t>INSPE BAT A</t>
  </si>
  <si>
    <t>Affectation</t>
  </si>
  <si>
    <t>CD83</t>
  </si>
  <si>
    <t>102 avenue Alphonse Gilet</t>
  </si>
  <si>
    <t>83000 Draguignan</t>
  </si>
  <si>
    <t>INSPE BAT B</t>
  </si>
  <si>
    <t>VILLAS</t>
  </si>
  <si>
    <t>CD84</t>
  </si>
  <si>
    <t>ESPE DRAGUIGNAN</t>
  </si>
  <si>
    <t>STOTAL LES INSPE</t>
  </si>
  <si>
    <t>41 Bd Napoléon III</t>
  </si>
  <si>
    <t>INFORMATIQUE</t>
  </si>
  <si>
    <t>LOGEMENTS</t>
  </si>
  <si>
    <t>Restauration</t>
  </si>
  <si>
    <t>IUT FABRON</t>
  </si>
  <si>
    <t>IUT CANNES TOURISME</t>
  </si>
  <si>
    <t>Ville de Cannes</t>
  </si>
  <si>
    <t>54 rue de Cannes</t>
  </si>
  <si>
    <t>06150 Cannes La Bocca</t>
  </si>
  <si>
    <t>GEORGES MELIES</t>
  </si>
  <si>
    <t>Avenue Francis Tonner</t>
  </si>
  <si>
    <t>IUT DE MENTON</t>
  </si>
  <si>
    <t>Convention / Mise à disposition</t>
  </si>
  <si>
    <t>Ville de Menton / Etat</t>
  </si>
  <si>
    <t>58 chemin du collège</t>
  </si>
  <si>
    <t>06500 Menton</t>
  </si>
  <si>
    <t xml:space="preserve">STOTAL IUT </t>
  </si>
  <si>
    <t>SJA 1 ISEM</t>
  </si>
  <si>
    <t>24 avenue des Diables Bleus</t>
  </si>
  <si>
    <t>SJA 1 ENSEIGNEMENT GENERAL</t>
  </si>
  <si>
    <t>SJA 2 ODONTOLOGIE</t>
  </si>
  <si>
    <t>SJA 3 BU</t>
  </si>
  <si>
    <t xml:space="preserve"> SJA 3 MSH</t>
  </si>
  <si>
    <t>STOTAL SAINT JEAN D'ANGELY</t>
  </si>
  <si>
    <t>FORUM</t>
  </si>
  <si>
    <t>930 Rte des Colles</t>
  </si>
  <si>
    <t>06410 Biot</t>
  </si>
  <si>
    <t>TEMPLIERS</t>
  </si>
  <si>
    <t>TEMPLIERS 2</t>
  </si>
  <si>
    <t>QLIO</t>
  </si>
  <si>
    <t>IUT INFOCOM</t>
  </si>
  <si>
    <t>IUT RT</t>
  </si>
  <si>
    <t>TRANSFO</t>
  </si>
  <si>
    <t>SOPHIATECH</t>
  </si>
  <si>
    <t>EPU LES LUCIOLES</t>
  </si>
  <si>
    <t>1645 Route des Lucioles</t>
  </si>
  <si>
    <t>LES ALGORITHMES</t>
  </si>
  <si>
    <t>Propriétaire</t>
  </si>
  <si>
    <t>UCA</t>
  </si>
  <si>
    <t>2000 Route des Lucioles</t>
  </si>
  <si>
    <t>STOTAL SOPHIATECH</t>
  </si>
  <si>
    <t>TOTAL</t>
  </si>
  <si>
    <t>Références Diagnostics :</t>
  </si>
  <si>
    <r>
      <t>(</t>
    </r>
    <r>
      <rPr>
        <b/>
        <sz val="11"/>
        <color rgb="FFFF0000"/>
        <rFont val="Aptos Narrow"/>
        <family val="2"/>
        <scheme val="minor"/>
      </rPr>
      <t>Accessibilité</t>
    </r>
    <r>
      <rPr>
        <sz val="11"/>
        <color rgb="FFFF0000"/>
        <rFont val="Aptos Narrow"/>
        <family val="2"/>
        <scheme val="minor"/>
      </rPr>
      <t xml:space="preserve"> 2.3 
et </t>
    </r>
    <r>
      <rPr>
        <b/>
        <sz val="11"/>
        <color rgb="FFFF0000"/>
        <rFont val="Aptos Narrow"/>
        <family val="2"/>
        <scheme val="minor"/>
      </rPr>
      <t>Patrimoine Historique</t>
    </r>
    <r>
      <rPr>
        <sz val="11"/>
        <color rgb="FFFF0000"/>
        <rFont val="Aptos Narrow"/>
        <family val="2"/>
        <scheme val="minor"/>
      </rPr>
      <t xml:space="preserve"> 4)</t>
    </r>
  </si>
  <si>
    <r>
      <t>(</t>
    </r>
    <r>
      <rPr>
        <b/>
        <sz val="11"/>
        <color rgb="FFFF0000"/>
        <rFont val="Aptos Narrow"/>
        <family val="2"/>
        <scheme val="minor"/>
      </rPr>
      <t xml:space="preserve">Clos Couvert </t>
    </r>
    <r>
      <rPr>
        <sz val="11"/>
        <color rgb="FFFF0000"/>
        <rFont val="Aptos Narrow"/>
        <family val="2"/>
        <scheme val="minor"/>
      </rPr>
      <t xml:space="preserve">1.1 ; </t>
    </r>
    <r>
      <rPr>
        <b/>
        <sz val="11"/>
        <color rgb="FFFF0000"/>
        <rFont val="Aptos Narrow"/>
        <family val="2"/>
        <scheme val="minor"/>
      </rPr>
      <t xml:space="preserve">Technique </t>
    </r>
    <r>
      <rPr>
        <sz val="11"/>
        <color rgb="FFFF0000"/>
        <rFont val="Aptos Narrow"/>
        <family val="2"/>
        <scheme val="minor"/>
      </rPr>
      <t>1.3 ; )</t>
    </r>
  </si>
  <si>
    <r>
      <t>(</t>
    </r>
    <r>
      <rPr>
        <b/>
        <sz val="11"/>
        <color rgb="FFFF0000"/>
        <rFont val="Aptos Narrow"/>
        <family val="2"/>
        <scheme val="minor"/>
      </rPr>
      <t>Risques Sanit</t>
    </r>
    <r>
      <rPr>
        <sz val="11"/>
        <color rgb="FFFF0000"/>
        <rFont val="Aptos Narrow"/>
        <family val="2"/>
        <scheme val="minor"/>
      </rPr>
      <t xml:space="preserve"> 1.2.3 ; </t>
    </r>
    <r>
      <rPr>
        <b/>
        <sz val="11"/>
        <color rgb="FFFF0000"/>
        <rFont val="Aptos Narrow"/>
        <family val="2"/>
        <scheme val="minor"/>
      </rPr>
      <t>Sécurité Incendie</t>
    </r>
    <r>
      <rPr>
        <sz val="11"/>
        <color rgb="FFFF0000"/>
        <rFont val="Aptos Narrow"/>
        <family val="2"/>
        <scheme val="minor"/>
      </rPr>
      <t xml:space="preserve"> 1.2.1;
 </t>
    </r>
    <r>
      <rPr>
        <b/>
        <sz val="11"/>
        <color rgb="FFFF0000"/>
        <rFont val="Aptos Narrow"/>
        <family val="2"/>
        <scheme val="minor"/>
      </rPr>
      <t>Solidité-Sismique</t>
    </r>
    <r>
      <rPr>
        <sz val="11"/>
        <color rgb="FFFF0000"/>
        <rFont val="Aptos Narrow"/>
        <family val="2"/>
        <scheme val="minor"/>
      </rPr>
      <t xml:space="preserve"> 2.4; </t>
    </r>
    <r>
      <rPr>
        <b/>
        <sz val="11"/>
        <color rgb="FFFF0000"/>
        <rFont val="Aptos Narrow"/>
        <family val="2"/>
        <scheme val="minor"/>
      </rPr>
      <t xml:space="preserve">Sureté </t>
    </r>
    <r>
      <rPr>
        <sz val="11"/>
        <color rgb="FFFF0000"/>
        <rFont val="Aptos Narrow"/>
        <family val="2"/>
        <scheme val="minor"/>
      </rPr>
      <t>3.2)</t>
    </r>
  </si>
  <si>
    <r>
      <t>(</t>
    </r>
    <r>
      <rPr>
        <b/>
        <sz val="11"/>
        <color rgb="FFFF0000"/>
        <rFont val="Aptos Narrow"/>
        <family val="2"/>
        <scheme val="minor"/>
      </rPr>
      <t>Performances énergétiques du bâti</t>
    </r>
    <r>
      <rPr>
        <sz val="11"/>
        <color rgb="FFFF0000"/>
        <rFont val="Aptos Narrow"/>
        <family val="2"/>
        <scheme val="minor"/>
      </rPr>
      <t xml:space="preserve"> 2.1 
et </t>
    </r>
    <r>
      <rPr>
        <b/>
        <sz val="11"/>
        <color rgb="FFFF0000"/>
        <rFont val="Aptos Narrow"/>
        <family val="2"/>
        <scheme val="minor"/>
      </rPr>
      <t>des installations</t>
    </r>
    <r>
      <rPr>
        <sz val="11"/>
        <color rgb="FFFF0000"/>
        <rFont val="Aptos Narrow"/>
        <family val="2"/>
        <scheme val="minor"/>
      </rPr>
      <t xml:space="preserve"> 2.2)</t>
    </r>
  </si>
  <si>
    <r>
      <rPr>
        <sz val="10"/>
        <color theme="1"/>
        <rFont val="Aptos Narrow"/>
        <family val="2"/>
        <scheme val="minor"/>
      </rPr>
      <t>IDENTIFIANT BÂTIMENT</t>
    </r>
    <r>
      <rPr>
        <sz val="11"/>
        <color theme="1"/>
        <rFont val="Aptos Narrow"/>
        <family val="2"/>
        <scheme val="minor"/>
      </rPr>
      <t xml:space="preserve">
 (Code RUS)</t>
    </r>
  </si>
  <si>
    <t>NOM BÂTIMENT</t>
  </si>
  <si>
    <t>VILLE</t>
  </si>
  <si>
    <t xml:space="preserve">FONCTIONNEL 
POINTS D'ATTENTION </t>
  </si>
  <si>
    <t>Accessibilité et Patrimoine Historique 
POINTS D'ATTENTION</t>
  </si>
  <si>
    <t>TECHNIQUE
POINTS D'ATTENTION</t>
  </si>
  <si>
    <t>REGLEMENTAIRE
POINTS D'ATTENTION</t>
  </si>
  <si>
    <t>ENERGETIQUE - ENVIRONNEMENTAL
POINTS D'ATTENTION</t>
  </si>
  <si>
    <t>VALROSE</t>
  </si>
  <si>
    <t>Bâtiments anciens du XIXe siècle, inadaptés pour les effectifs administratifs.
Constructions plus récentes (années 60-80) pour étudiants et chercheurs, mais avec des pathologies accentuant la vétusté.
Les bâtiments anciens ne sont pas conçus pour des espaces tertiaires.
Site vallonné et difficile à adapter.
Déficit de stationnements et éloignement des transports publics.
Desservi par bus et tram, mais temps de parcours longs.</t>
  </si>
  <si>
    <t>Mise en accessibilité des bâtiments suivant prochain SDMA
Parc et monuments classés historique:
Restauration Grotte entrée automate, cascade, ruines et grandes rocailles, Grand escalier jardins, cascades, ruines et grandes rocailles, Scène des communs), ancienne roseraie et jeu de croquet.</t>
  </si>
  <si>
    <t>Surveillance mouvement talus (CROUS)</t>
  </si>
  <si>
    <t>UNV0A</t>
  </si>
  <si>
    <t>Nice</t>
  </si>
  <si>
    <t>Mauvaise adaptabilité à un usage tertiaire (bâtiment classé)</t>
  </si>
  <si>
    <t>Restauration salon de musique
Restauration toiture et façades</t>
  </si>
  <si>
    <t xml:space="preserve">Infiltrations fenêtres et toitures à réparer </t>
  </si>
  <si>
    <t>Création salle Hyperviseur pour la sureté</t>
  </si>
  <si>
    <t>Isolation des combes et réfection réseaux hydrauliques (VRV etc.) - Fenêtres classées simple vitrage</t>
  </si>
  <si>
    <t>UNV0B</t>
  </si>
  <si>
    <t>RAS</t>
  </si>
  <si>
    <t>Révision toiture et descentes EP
Remplacement CTA - Désembouage réseau
Réfection façades (parement pierres endommagées)</t>
  </si>
  <si>
    <t>Insuffisance de contreventements longitudinal (risque 2 sismique)</t>
  </si>
  <si>
    <t>Remplacement menuiseries extérieures (façade Est)
Doublage int. des parois
Installation VMC double flux, VRV)</t>
  </si>
  <si>
    <t>UNV0C</t>
  </si>
  <si>
    <t>Réfection porte monumentale
Restauration parements, toitures et décors intérieurs galerie et loge (stuc)</t>
  </si>
  <si>
    <t>Restauration parements et toiture
Traitement ventilations et remontées d'humidité</t>
  </si>
  <si>
    <t>Idem Grd Château</t>
  </si>
  <si>
    <t>UNV0D</t>
  </si>
  <si>
    <t>Insuffisance de contreventements longitudinal (risque sismique classe 2)</t>
  </si>
  <si>
    <t>Remplacement menuiseries extérieures 
Doublage int. des parois
Installation VMC double flux, VRV</t>
  </si>
  <si>
    <t>UNV0E</t>
  </si>
  <si>
    <t>Exigences spécifiques des laboratoires</t>
  </si>
  <si>
    <t>Désamiantage couloir R+3
Insuffisance de contreventements longitudinal (risque sismique classe 2)</t>
  </si>
  <si>
    <t>Installation VMC double flux,VRV chaud/froid</t>
  </si>
  <si>
    <t>UNV0F</t>
  </si>
  <si>
    <t>Remplacement CTA Vétuste et désembouage réseaux  Réfection descente EP
Ravalement de façade</t>
  </si>
  <si>
    <t>UNV0G</t>
  </si>
  <si>
    <t>LABO PREFA BIOCHIMIE</t>
  </si>
  <si>
    <t>Actif à démolir suite à sinistre</t>
  </si>
  <si>
    <t>UNV0H</t>
  </si>
  <si>
    <t>Remplacement 2 CTA Vétustes 
Réfection descente EP
Ravalement de façade
Sécurisation accès toiture</t>
  </si>
  <si>
    <t>UNV0I</t>
  </si>
  <si>
    <t>Remplacement CTA Vétuste 
Réfection descente EP
Ravalement de façade
Sécurisation accès toiture</t>
  </si>
  <si>
    <t>UNV0J</t>
  </si>
  <si>
    <t>TP PHYSIQUE</t>
  </si>
  <si>
    <t>Désembouage du réseau + robinets thermostatiques
Ravalement de façade</t>
  </si>
  <si>
    <r>
      <t>Insuffisance de contreventements longitudinal (risque sismique</t>
    </r>
    <r>
      <rPr>
        <sz val="11"/>
        <color rgb="FFFF0000"/>
        <rFont val="Aptos Narrow"/>
        <family val="2"/>
        <scheme val="minor"/>
      </rPr>
      <t xml:space="preserve"> classe 3</t>
    </r>
    <r>
      <rPr>
        <sz val="11"/>
        <color rgb="FF0070C0"/>
        <rFont val="Aptos Narrow"/>
        <family val="2"/>
        <scheme val="minor"/>
      </rPr>
      <t>)</t>
    </r>
  </si>
  <si>
    <t>UNV0K</t>
  </si>
  <si>
    <t>UNV0L</t>
  </si>
  <si>
    <t>AMPHITHEATRES 5</t>
  </si>
  <si>
    <t>Remplacement CTA vétuste
Ravalement Façade</t>
  </si>
  <si>
    <t>DT</t>
  </si>
  <si>
    <t>UNV0M</t>
  </si>
  <si>
    <t>Désembouage + pose de robinets thermostatiques
Remplacement réseau évacuation EU
Remplacement skydome
Ravalement de façade et mur dégradé</t>
  </si>
  <si>
    <t>Insuffisance de contreventements longitudinal (risque sismique classe 2)
Création espaces stockages archives bât M (CF) sous sol (sécurité incendie)</t>
  </si>
  <si>
    <t>UNV0N</t>
  </si>
  <si>
    <t xml:space="preserve">Rénovation blocs sanitaires
Modernisation poste HT
Remplacement CTA vétuste
Rénovation équipement PAC (R22)
Désembouage + pose de robinets thermostatiques
Ravalement de façade </t>
  </si>
  <si>
    <t>Insuffisance de contreventements longitudinal (risque sismique classe 2) et faible capacité des planchers à jouer leurs rôles de diaphragme.</t>
  </si>
  <si>
    <t>UNV0O</t>
  </si>
  <si>
    <t>Rénovation galerie, faitage en zinc, balcon ouest et structure ancien oriel, vitraux, marquise métallique et vases d'amortissement en pierre</t>
  </si>
  <si>
    <t>Garde corps balcon corrodé et réfection balcon
Nettoyage façade
Désembouage réseau et mise en place robinets thermostatiques
Surveillance infiltration toiture</t>
  </si>
  <si>
    <t xml:space="preserve">Mauvais état des porteurs verticaux et faible capacité des planchers à assurer leurs rôle de contreventements (risque sismique classe 2) </t>
  </si>
  <si>
    <t>UNV0P</t>
  </si>
  <si>
    <t>Désembouage du réseau + robinets thermostatiques
Rénovation blocs sanitaires vétustes</t>
  </si>
  <si>
    <t xml:space="preserve">Insuffisance de contreventements dans les 2 directions (risque sismique classe 2) </t>
  </si>
  <si>
    <t>Mise en place de VRV (refroidissement)</t>
  </si>
  <si>
    <t>UNV0Q</t>
  </si>
  <si>
    <t>Désembouage du réseau + robinets thermostatiques
Ravalement façade et remplacement volets roulants
Remplacement CTA vétuste</t>
  </si>
  <si>
    <t>Remplacement menuiseries extérieures
Doublage int. des parois
installation VMC double flux, VRV)</t>
  </si>
  <si>
    <t>UNV0R</t>
  </si>
  <si>
    <t xml:space="preserve">Remplacement CTA vétuste
Remplacement portes automatiques
Ravalement de façade </t>
  </si>
  <si>
    <t>Remplacement menuiseries extérieures
Doublage int. des parois
Installation VRV</t>
  </si>
  <si>
    <t>UNV0S</t>
  </si>
  <si>
    <t>Protection toiture dégradée
Murs endommagés
Verrière cassée
Traitement humidité dans les sanitaires</t>
  </si>
  <si>
    <t>UNV0T</t>
  </si>
  <si>
    <t>Labo transféré et bâtiment destiné à recevoir des services centraux (travaux 2025-2026)</t>
  </si>
  <si>
    <t>UNVT1</t>
  </si>
  <si>
    <t>UNV0U</t>
  </si>
  <si>
    <t>Etudiants de première année de médecine actuellement sur le campus de Valrose. Repositionnement futur sur le campus de Saint-Jean-d’Angély pour libérer des locaux.</t>
  </si>
  <si>
    <t>Réfection enduits façade
Désembouage et pose robinets thermostatiques
Elagage arbre proche façade</t>
  </si>
  <si>
    <t xml:space="preserve">Désamiantage et pose d'un nouveau sol au sous sol et couloirs + R+2, 3 et 4
Insuffisance de contreventements dans les 2 directions (risque sismique classe 2) </t>
  </si>
  <si>
    <t>UNV0V</t>
  </si>
  <si>
    <t>Colmatage fissures dalles et murs
Remplacement Chaudière, Aérotherme et CTA, sanitaires et installation
Désembouage et pose robinets thermostatiques
Traitement béton et aciers corrodés + escalier métallique
Remplacement Skydome</t>
  </si>
  <si>
    <t>Remplacement menuiseries extérieures
Doublage int. des parois
installation VMC double flux, VRV</t>
  </si>
  <si>
    <t>UNV0W</t>
  </si>
  <si>
    <t>Traitement circuit d'aliment corrodé
Menuiserie métallique en toiture dégradée
Dégradation plaques en façades + aciers corrodés</t>
  </si>
  <si>
    <t>Remplacement menuiseries extérieures
installation VMC double flux, VRV)
Doublage int. des parois
Isolation toiture et plancher bas parkings</t>
  </si>
  <si>
    <t>UNV0X</t>
  </si>
  <si>
    <t>UNVAA</t>
  </si>
  <si>
    <t>UNVAB</t>
  </si>
  <si>
    <t>Restauration cave</t>
  </si>
  <si>
    <t>UNVAD</t>
  </si>
  <si>
    <t>Salle de réunion avec problème d'acoustique (réverbération)</t>
  </si>
  <si>
    <t>Traitement fissures et infiltration (sous fontaine)</t>
  </si>
  <si>
    <t>UNVA1</t>
  </si>
  <si>
    <t xml:space="preserve">Mauvaise adaptabilité à un usage tertiaire </t>
  </si>
  <si>
    <t>UNVA2</t>
  </si>
  <si>
    <t>UNVA3</t>
  </si>
  <si>
    <t>CONCIERGERIE</t>
  </si>
  <si>
    <t>Nettoyage HP façade
Traitement humidité mur dégradé</t>
  </si>
  <si>
    <t>Remplacement menuiseries extérieures
Installation VRV</t>
  </si>
  <si>
    <t>UNVA4</t>
  </si>
  <si>
    <t>Restauration complète 2025/2026</t>
  </si>
  <si>
    <t>Restauration complète 2025/2027</t>
  </si>
  <si>
    <t>Restauration complète 2025/2028</t>
  </si>
  <si>
    <t>UNVA5</t>
  </si>
  <si>
    <t>POLE MEDICO SOCIAL</t>
  </si>
  <si>
    <t xml:space="preserve">Rénovation volets bois et balcon
Traitement infiltrations en toiture (JD HS)
Neutralisation cuve à fioul </t>
  </si>
  <si>
    <t>Isolation des combles
Remplacement menuiseries extérieures
Doublage int. des parois
Installation VRV et ballon ECS</t>
  </si>
  <si>
    <t>UNVA6</t>
  </si>
  <si>
    <t>SERVICES TECHNIQUES</t>
  </si>
  <si>
    <t>UNVA7</t>
  </si>
  <si>
    <t>UNVA8</t>
  </si>
  <si>
    <t>Reprise de fissures et remplacement vitrage
Remplacement linteau de fenêtre
Traitement local de façade
Traitement infiltrations et fissures
Rénovation verrière</t>
  </si>
  <si>
    <t xml:space="preserve">Insuffisance de contreventements (risque sismique classe 2) </t>
  </si>
  <si>
    <t>Isolation plancher haut des combles
Remplacement menuiseries extérieures
Doublage int. des parois
Installation VRV et ballon ECS</t>
  </si>
  <si>
    <t>UNVA9</t>
  </si>
  <si>
    <t>Rénovation toiture
Réfection enduits de façade
Mise en place d'un garde corps
Traitement infiltration faux plafond dégradé
Remplacement convecteurs et cumulus
Traitement nuisibles</t>
  </si>
  <si>
    <t xml:space="preserve">Isolation  des combles
Remplacement menuiseries extérieures
Doublage int. des parois
Installation VMC double flux, VRV </t>
  </si>
  <si>
    <t>UNVX1</t>
  </si>
  <si>
    <t>Préfabriqué DIEUDONNE</t>
  </si>
  <si>
    <t>Pose horloge luminaires</t>
  </si>
  <si>
    <t>UNVX2</t>
  </si>
  <si>
    <t>CARLONE</t>
  </si>
  <si>
    <t>Distance et déclivité entre la station de tram et le campus, rendant l'accès difficile.
Manque de locaux pour répondre aux besoins des utilisateurs, notamment pour les activités sportives et culturelles.</t>
  </si>
  <si>
    <t>Mise en accessibilité des bâtiments suivant prochain SDMA</t>
  </si>
  <si>
    <t>UNCHH</t>
  </si>
  <si>
    <t>UNCHI</t>
  </si>
  <si>
    <t>GRAND AMPHI</t>
  </si>
  <si>
    <t>Traitement des nuisibles</t>
  </si>
  <si>
    <t>Reprise fissures éléments porteurs et plancher R+1
Sol amianté couloirs (Italien, Musique et langues) et traitement AC1 en VS</t>
  </si>
  <si>
    <t>Isolation plancher bas et faux plafond</t>
  </si>
  <si>
    <t>UNCBU</t>
  </si>
  <si>
    <t>Reprise de fissures et traitement des aciers (voiles béton)</t>
  </si>
  <si>
    <r>
      <t>Insuffisance de contreventements longitudinal (risque sismique</t>
    </r>
    <r>
      <rPr>
        <sz val="11"/>
        <color rgb="FFFF0000"/>
        <rFont val="Aptos Narrow"/>
        <family val="2"/>
        <scheme val="minor"/>
      </rPr>
      <t xml:space="preserve"> classe 3</t>
    </r>
    <r>
      <rPr>
        <sz val="11"/>
        <color rgb="FF0070C0"/>
        <rFont val="Aptos Narrow"/>
        <family val="2"/>
        <scheme val="minor"/>
      </rPr>
      <t>)
Sols amiantés des archives et réserves BU
Mise aux normes électrique (éclairage LED, câblage, tableau électrique (y compris désamiantage)</t>
    </r>
  </si>
  <si>
    <t>UNCGP</t>
  </si>
  <si>
    <t>Sinistres revêtements piscine
Traitement des nuisibles</t>
  </si>
  <si>
    <t>Mise en place bâche protection pour la piscine</t>
  </si>
  <si>
    <t>Installer des variateurs de vitesse sur les pompes de circulation chauffage et ECS</t>
  </si>
  <si>
    <t>UNCEX</t>
  </si>
  <si>
    <t>Désembouage et pose robinets thermostatiques
Portes d'accès vétuste
Reprise de gaines, VMC et pompe ECS  des blocs sanitaires)
Nettoyage HP des façades, Révision étanchéité et reprise des caissons métalliques des volets
Traitement des fissures et aciers corrodés</t>
  </si>
  <si>
    <t>Eclairage et asservissement des portes de sorties de secours</t>
  </si>
  <si>
    <t>Remplacement menuiseries extérieures</t>
  </si>
  <si>
    <t>UNCPN</t>
  </si>
  <si>
    <t>Capacité de stationnement limitée, entraînant des saturations régulières.</t>
  </si>
  <si>
    <t>Infiltration atelier
Traitement des aciers corrodés, façade et parkings
Corrosion circuit Adduction Eau Potable  (réfection réseau d'eau et réseau EP (fonte)</t>
  </si>
  <si>
    <t xml:space="preserve"> Reprise fissures, poteaux, poutres, plancher RDC (risque sismique classe 2) 
Traitement AC1 bac incendie fibro ciment</t>
  </si>
  <si>
    <t>UNCPS</t>
  </si>
  <si>
    <t>Réfection étanchéité, enrobé, voirie et JD
Réfection réseaux d'EP
Ajout ralentisseur et poubelles
Reprise de fissures</t>
  </si>
  <si>
    <t>UNCLT</t>
  </si>
  <si>
    <t>UNCPL</t>
  </si>
  <si>
    <t>UNCP1</t>
  </si>
  <si>
    <t>UNCP2</t>
  </si>
  <si>
    <t>UNCP3</t>
  </si>
  <si>
    <t>UNCCH</t>
  </si>
  <si>
    <t>TROTABAS</t>
  </si>
  <si>
    <t>UNT0A</t>
  </si>
  <si>
    <t>Rénovation sol et murs
Réparation canalisation EU (campus)
Déplacement baie brassage et installation nouveau WIFI
Rénovation salle des profs transformé en Pédagolab</t>
  </si>
  <si>
    <r>
      <t>Insuffisance de contreventements longitudinal (risque sismique</t>
    </r>
    <r>
      <rPr>
        <sz val="11"/>
        <color rgb="FFFF0000"/>
        <rFont val="Aptos Narrow"/>
        <family val="2"/>
        <scheme val="minor"/>
      </rPr>
      <t xml:space="preserve"> classe 3</t>
    </r>
    <r>
      <rPr>
        <sz val="11"/>
        <color rgb="FF0070C0"/>
        <rFont val="Aptos Narrow"/>
        <family val="2"/>
        <scheme val="minor"/>
      </rPr>
      <t>)
Désamiantage faux plafond circulation IDPD (Bâtiment principal, niveau 3)</t>
    </r>
  </si>
  <si>
    <t>Remplacement menuiseries extérieures
Doublage int.  des parois
Remplacement des PC et mise en place d'un copieur partagé</t>
  </si>
  <si>
    <t>UNT0B</t>
  </si>
  <si>
    <t>Elagage d'arbres
Protection mécanique dans les couloir</t>
  </si>
  <si>
    <t>UNT0C</t>
  </si>
  <si>
    <t>Changement de bancs dans les amphis 1 et 2</t>
  </si>
  <si>
    <t>UNT0D</t>
  </si>
  <si>
    <t>Remplacement descentes EU (fonte) 
Rénovation blocs sanitaires</t>
  </si>
  <si>
    <t>Remplacement menuiseries extérieures
Doublage int.  des parois</t>
  </si>
  <si>
    <t>UNT0E</t>
  </si>
  <si>
    <t>Rénovation gardes corps 
Réparation appui de fenêtres</t>
  </si>
  <si>
    <t>Etanchéité et isolation toit terrasse</t>
  </si>
  <si>
    <t>UNT0F</t>
  </si>
  <si>
    <t>Mauvaise adaptabilité à un usage tertiaire
Acoustique défaillante dans l'amphithéâtre</t>
  </si>
  <si>
    <t>Réfection complète des façades
Traitement infiltrations et colmatage des fissures intérieures (plafond)
Réfection structure garde corps balcon
Traitement infiltrations et réparation appui fenêtres
Désembouage et pose robinets thermostatiques
Rénovation cage escalier et hall et pose d'une cloison</t>
  </si>
  <si>
    <t>Renforcement des planchers (Risque sismique classe 2)</t>
  </si>
  <si>
    <t>Remplacement menuiseries extérieures
Isolation des parois (façades)
Isolation plancher bas
Remplacement de PC et luminaires</t>
  </si>
  <si>
    <t>UNT0G</t>
  </si>
  <si>
    <t>Réfection enrobé et matérialisation places de stationnement
Entretien descente EP</t>
  </si>
  <si>
    <t xml:space="preserve">Remplacement luminaires </t>
  </si>
  <si>
    <t>Plaine du Var</t>
  </si>
  <si>
    <t>Mise en accessibilité STAPS en 2020</t>
  </si>
  <si>
    <t>STAPS</t>
  </si>
  <si>
    <t>Stationnement en surface insuffisant, non agrandi lors de la construction de la deuxième tranche.
Nécessité de traverser la ville pour accéder à des infrastructures sportives comme piscine et gymnase.
Manque d'infrastructures sportives ouvertes aux étudiants hors cursus STAPS.
Absence d'offre de logements à proximité du campus.</t>
  </si>
  <si>
    <t xml:space="preserve">Travaux entretien locaux remise en peinture 
Réaménagement des espaces de travail (PEDAGOLAB)
</t>
  </si>
  <si>
    <t>Remplacement BAES (STAPS)
Sécurisation du campus (PPMS et rehaussement de clôture</t>
  </si>
  <si>
    <t>Bornes de recharge véhicules électrique (STAPS)
Optimisation éclairage Led (STAPS)
Remplacement GTC obsolète</t>
  </si>
  <si>
    <t>UNS0A</t>
  </si>
  <si>
    <t xml:space="preserve">Equipement du gymnase, isolation
</t>
  </si>
  <si>
    <t>Dégradation peinture façade et bardage métallique
Infiltration verrières, solins en façade  et JD (membrane dégradée)
Occultations dégradées
Mise en sécurité accès toiture</t>
  </si>
  <si>
    <t>Sécurité des personnes (Eclairage LED + BAES de sécurité du Gymnase STAPS 1)
Travaux risque sanitaires  légionnelle (STAPS) - remplacement des colonnes douche sanitaires par des prestos</t>
  </si>
  <si>
    <t>Remplacement menuiseries extérieures
Remplacement PC et luminaires</t>
  </si>
  <si>
    <t>UNS0B</t>
  </si>
  <si>
    <t>Offre de restauration limitée à une cafétéria de 200 places. Environnement immédiat avec une offre de restauration quasiment inexistante.</t>
  </si>
  <si>
    <t>UNS0C</t>
  </si>
  <si>
    <t>PREFA 1</t>
  </si>
  <si>
    <t>Supprimé dans le plan de relance</t>
  </si>
  <si>
    <t>S.O</t>
  </si>
  <si>
    <t>UNS0D</t>
  </si>
  <si>
    <t>PREFA 2</t>
  </si>
  <si>
    <t>UNS0E</t>
  </si>
  <si>
    <t>PREFA 3</t>
  </si>
  <si>
    <t>Bâtiment neuf (en remplacement des 3 préfabriqués)</t>
  </si>
  <si>
    <t>UNEIM</t>
  </si>
  <si>
    <t>Absence d'offre de restauration sur site ou à proximité à tarif étudiant.
Absence d'offre sportive propre.</t>
  </si>
  <si>
    <t>Remise en service bassin EP
Remise en état colonne d'eau</t>
  </si>
  <si>
    <t>UNEIN</t>
  </si>
  <si>
    <t>Absence d'offre de restauration dans le bâtiment, mais frigo connecté disponible et convention avec le restaurant du CADAM à l'étude.
Protocole strict d'accès et surveillance renforcée pour l'Unité Mixte de Recherche classée ZRR.</t>
  </si>
  <si>
    <t>Médecine</t>
  </si>
  <si>
    <t>PASTEUR</t>
  </si>
  <si>
    <t>Etudiants de première année sur le campus de Valrose, complexifiant l'organisation pédagogique.
Location annuelle de salles extérieures pour le concours PACES.
Conception obsolète et densité limitant l'évolutivité.
Topographie accidentée.
Équipement technique défaillant, notamment pour les amphithéâtres et la tour IGH.
Absence de locaux sportifs et de vie étudiante.
Capacité de stationnement insuffisante.</t>
  </si>
  <si>
    <t>Eclairage des extérieurs (sécurité cheminement de nuit)</t>
  </si>
  <si>
    <t>Réfection complète de la voirie et stationnements</t>
  </si>
  <si>
    <t>UNP0A et B</t>
  </si>
  <si>
    <t>Galette et IGH (Tour)</t>
  </si>
  <si>
    <t>Nombreux laboratoires de l’INSERM, du CNRS et du CEA.</t>
  </si>
  <si>
    <t>Contraintes du classement IGH</t>
  </si>
  <si>
    <t>Reprise fissures et remise en état des murs
Ravalement des façades (traitement aciers corrodés)
Remplacement volets roulants métalliques
Remplacement de 3 étages de fenêtres (danger immédiat)
Colmatage fissures plancher haut parking
Entretien toiture
Occultations vétustes</t>
  </si>
  <si>
    <r>
      <t>Traitement AC1  (dalles de sol grises) des étages de l'IGH
Fin du traitement amiante des volets de désenfumage
Désamiantage fenêtres (joints)
Désamiantage relatif aux travaux de l'Ad'AP
Renforcement structure par plaque Carbodur et béton projeté + traitement fissures (Risque sismique</t>
    </r>
    <r>
      <rPr>
        <sz val="11"/>
        <color rgb="FFFF0000"/>
        <rFont val="Aptos Narrow"/>
        <family val="2"/>
        <scheme val="minor"/>
      </rPr>
      <t xml:space="preserve"> classe 3</t>
    </r>
    <r>
      <rPr>
        <sz val="11"/>
        <color rgb="FF0070C0"/>
        <rFont val="Aptos Narrow"/>
        <family val="2"/>
        <scheme val="minor"/>
      </rPr>
      <t>)
Sonorisations différenciées (PPMS/Anti Attentat/pilotée par hyperviseur) - IGH</t>
    </r>
  </si>
  <si>
    <t>Remplacement menuiseries extérieures
Doublage intérieur des parois
Remplacement PC et luminaires
Etanchéité et isolation toit terrasse</t>
  </si>
  <si>
    <t>UNP0C</t>
  </si>
  <si>
    <t>Partage des mêmes contraintes et avantages que la Faculté de Médecine (Pasteur).</t>
  </si>
  <si>
    <t>UNP0D</t>
  </si>
  <si>
    <t>Site sensible en raison des expérimentations animales.</t>
  </si>
  <si>
    <t>UNP0K</t>
  </si>
  <si>
    <t>Dysfonctionnement de la CTA</t>
  </si>
  <si>
    <t>UNI0A</t>
  </si>
  <si>
    <t>Exigences spécifiques des laboratoires
Mis en accessibilité en 2020</t>
  </si>
  <si>
    <t>Contrôle maintien du bardage
Détecteur de présence WC et couplage GTC
Contrôle fissure structure plancher
Traitement infiltration bureaux 4141 et 4133
Remplacement skydome fissuré</t>
  </si>
  <si>
    <t>Traitement des fissures (risque sismique classe 2)</t>
  </si>
  <si>
    <t>UNP0L</t>
  </si>
  <si>
    <t>DELVALLE 
(propriétaire Ville)</t>
  </si>
  <si>
    <t>Dégradations et intrusions, entraînant des dépôts de plainte.
Absence d'offre de restauration in situ.
Environnement non paisible.</t>
  </si>
  <si>
    <t>Système VRV difficilement exploitable</t>
  </si>
  <si>
    <t>LES INSPE</t>
  </si>
  <si>
    <t>STEPHEN LIEGARD</t>
  </si>
  <si>
    <t>UNL0A - H</t>
  </si>
  <si>
    <t xml:space="preserve"> STEPHEN LIEGARD</t>
  </si>
  <si>
    <t>GEORGES V</t>
  </si>
  <si>
    <t>UNI0F</t>
  </si>
  <si>
    <t>A restituer au département</t>
  </si>
  <si>
    <t>LA SEYNE SUR MER</t>
  </si>
  <si>
    <t>ULG0A - B</t>
  </si>
  <si>
    <t>LA SEYNE</t>
  </si>
  <si>
    <t>La Seyne sur Mer</t>
  </si>
  <si>
    <t>Révision des ouvrants et couvertine en toiture
Equipement robinets thermostatiques sur équipement terminaux</t>
  </si>
  <si>
    <t>Remplacement menuiseries extérieures
Doublage int. des parois
Installation VMC double flux, VRV
Remplacement PC fixes par portables 
Remplacement luminaires</t>
  </si>
  <si>
    <t>DRAGUIGNAN</t>
  </si>
  <si>
    <t>UDD0A-B-C</t>
  </si>
  <si>
    <t xml:space="preserve"> BAT A - B - C</t>
  </si>
  <si>
    <t>Draguignan</t>
  </si>
  <si>
    <t>LES IUT</t>
  </si>
  <si>
    <t>FABRON</t>
  </si>
  <si>
    <t>Travaux divers d'entretien électricité, VMC, peinture, plomberie
Rénovation électrique (classes et loge)
Deuxième volet de l'espace sportif  (réhabilitation blocs sanitaires et ex-salle de musculation)</t>
  </si>
  <si>
    <t xml:space="preserve">Remplacement BAES
Mise aux normes prises électriques et suppression rallonges électriques et multiprises
Installation alarmes anti intrusion compatible avec hyperviseur
Normalisation anti risque intrusion (équipement portes mécanisme électrique)
Travaux clôtures extérieures et aménagement entrée principale extérieure </t>
  </si>
  <si>
    <t xml:space="preserve">Remplacement des sources lumineuses extérieures du site </t>
  </si>
  <si>
    <t>UNF0A</t>
  </si>
  <si>
    <t>Colmatage fissures, reprise béton, passivation des aciers et corrosion structure métallique toit
Réfection amphi Moussieg</t>
  </si>
  <si>
    <r>
      <t xml:space="preserve">Insuffisance de contreventements longitudinal (risque sismique </t>
    </r>
    <r>
      <rPr>
        <sz val="10"/>
        <color rgb="FFFF0000"/>
        <rFont val="Arial"/>
        <family val="2"/>
      </rPr>
      <t>classe 3</t>
    </r>
    <r>
      <rPr>
        <sz val="10"/>
        <color rgb="FF0070C0"/>
        <rFont val="Arial"/>
        <family val="2"/>
      </rPr>
      <t xml:space="preserve">)
</t>
    </r>
    <r>
      <rPr>
        <sz val="11"/>
        <color rgb="FF0070C0"/>
        <rFont val="Aptos Narrow"/>
        <family val="2"/>
      </rPr>
      <t>Traitement AC1 (dalles de sol grises) couloirs et salles</t>
    </r>
  </si>
  <si>
    <t>UNF0B</t>
  </si>
  <si>
    <t>Traitement infiltration façade (réfection JD et parties béton abîmées)
Confortement mur extérieur fissuré</t>
  </si>
  <si>
    <t>Renforcement des contreventements (risque sismique classe 2)
Traitement AC1 (dalles de sol grises) couloirs et salles</t>
  </si>
  <si>
    <t>UNF0C</t>
  </si>
  <si>
    <t>UNF0D</t>
  </si>
  <si>
    <t>GEORGES Méliès</t>
  </si>
  <si>
    <t>UCI</t>
  </si>
  <si>
    <t xml:space="preserve">Georges Méliès </t>
  </si>
  <si>
    <t>Cannes</t>
  </si>
  <si>
    <t>Euroformapole</t>
  </si>
  <si>
    <t>UCI0A</t>
  </si>
  <si>
    <t>Restitué à la ville de Cannes à compter d'avril 2025</t>
  </si>
  <si>
    <t>Restitué à la ville de Cannes à compter d'avril 2026</t>
  </si>
  <si>
    <t>Restitué à la ville de Cannes à compter d'avril 2027</t>
  </si>
  <si>
    <t>Restitué à la ville de Cannes à compter d'avril 2028</t>
  </si>
  <si>
    <t>Restitué à la ville de Cannes à compter d'avril 2029</t>
  </si>
  <si>
    <t>MENTON</t>
  </si>
  <si>
    <t>UMI0A</t>
  </si>
  <si>
    <t>Menton</t>
  </si>
  <si>
    <t xml:space="preserve">Installation gestionnaire de chauffage sur l'ensemble du bâtiment, plus de ventilo convecteur sur le site de Menton. Remplacement vanne eau par étage </t>
  </si>
  <si>
    <t>SAINT JEAN D'ANGELY</t>
  </si>
  <si>
    <t>Remplacement des BAES (Eclairages de sécurité)
Remplacement centrale SSI du parking (uniformisation des 3 centrales du campus)</t>
  </si>
  <si>
    <t>UNJ0A</t>
  </si>
  <si>
    <t>ISEM</t>
  </si>
  <si>
    <t>Rénovation étanchéité
Réfection des parements pierres
Remplacement fermes portes
Remplacement de vitrages
Remplacement CTA et colmatage fuite réseau
campagne de fixation dalles de faux plafonds
Curage canalisation parking</t>
  </si>
  <si>
    <t>Equipements techniques (VRV chauff/Clim + Calorifuge réseau aéraulique, horloges extracteurs.)
Installation Détecteurs présences sanitaires, stores façades ouest et traitement des joints menuiseries fenêtres)</t>
  </si>
  <si>
    <t>UNJ0B</t>
  </si>
  <si>
    <t>ENSEIGNEMENT GENERAL</t>
  </si>
  <si>
    <t>Rénovation étanchéité
Reprise étanchéité des verrières
Réfection des parements pierres,
Remplacement hublots skydomes et remise en état occultations
Réparation des brises soleils et remplacement vitrerie et joints
Remplacement volets détériorés
Sécurisation accès toiture
Colmatage de fissures poutre béton hall sous verrière
Remplacement équipements GTC et mise en place films solaires</t>
  </si>
  <si>
    <t xml:space="preserve">Horloges pilotable ventilo convecteurs
</t>
  </si>
  <si>
    <t>UNJ0C</t>
  </si>
  <si>
    <t>ODONTOLOGIE</t>
  </si>
  <si>
    <t>Réfection parements pierres
Calorifugeage réseau et remplacement CTA
Stores défectueux
Sécurisation accès toiture</t>
  </si>
  <si>
    <t xml:space="preserve">Remplacement menuiseries extérieures et doublage intérieurs des parois
Horloges pilotable ventilo convecteurs
</t>
  </si>
  <si>
    <t>UNJ0D</t>
  </si>
  <si>
    <t>SCIENCES DE L'HOMME</t>
  </si>
  <si>
    <t xml:space="preserve">Rénovation étanchéité
Réfection des parements pierres - Bardage détérioré, vernis effrité et fissures
Reprise étanchéité  des portes fenêtres en façade
Remplacement roof top (gestion débit d'air via GTC)
Installation de détecteurs de présence </t>
  </si>
  <si>
    <t>Horloges pilotable ventilo convecteurs</t>
  </si>
  <si>
    <t>UNJ0E</t>
  </si>
  <si>
    <t>Reprise de fissures en façade 
Reprise de pente de l'écoulement terrasse
Nettoyage complet du réseau (gaines et bouches)</t>
  </si>
  <si>
    <t>Mise en place de programmes horaires
Reprise du calorifuge du réseau aéraulique</t>
  </si>
  <si>
    <t>UNJ0F</t>
  </si>
  <si>
    <t>MSH</t>
  </si>
  <si>
    <t>Bâtiment plus ancien (1997), nécessitant une attention particulière sur son état et ses équipements.</t>
  </si>
  <si>
    <t>Réfection partielle de la peinture de façade
Nettoyage complet du réseau (gaines et bouches)
Remplacement CTA</t>
  </si>
  <si>
    <t>Mise en place de programmes horaires CVC et horloge sur CTA 
Détecteurs de présence circulations</t>
  </si>
  <si>
    <t>UNJ0A(b)</t>
  </si>
  <si>
    <t>RU</t>
  </si>
  <si>
    <t>SOPHIA TECH</t>
  </si>
  <si>
    <t>Mise en accessibilité des bâtiments suivant prochain SDMA et extérieurs réalisés en 2020</t>
  </si>
  <si>
    <t>Mise aux normes terrain sport existant et Création de terrains multisports
Installation de 3 abris à vélos sur les sites des templiers / lucioles et algorithmes</t>
  </si>
  <si>
    <t>Remplacement des extincteurs
Remplacement du poste HT (transformateur &amp; cellules de protection)</t>
  </si>
  <si>
    <t>USS0A</t>
  </si>
  <si>
    <t>Biot</t>
  </si>
  <si>
    <t>Reprise de peinture sur la corrosion
Traitement des infiltrations dans les menuiseries</t>
  </si>
  <si>
    <t>Mise en place d'un récupérateur de chaleur
Remettre en état les détecteurs de présence et remplacement des luminaires</t>
  </si>
  <si>
    <t>USS0B</t>
  </si>
  <si>
    <t>Traitement fissures, façades
Remplacement vitrage, étanchéité skydome et volet roulant endommagés
Contrôle écoulement EP
Installation de 4 douches et vestiaires
Reprise traces de corrosion et mise en place d'une VMC dans les sanitaires</t>
  </si>
  <si>
    <t>Renforcement des contreventements (risque sismique classe 2)
Contrôle d'accès/Vidéoprotection</t>
  </si>
  <si>
    <t>Mise en place CTA double flux, réfection réseaux  et mise en place VRV 
Remplacement menuiseries extérieures et doublage intérieurs des parois
Remplacement des luminaires, minuterie sanitaire et PC fixes par portables</t>
  </si>
  <si>
    <t>USS0C</t>
  </si>
  <si>
    <t xml:space="preserve">Reprise fissures mur, refend, dalles plancher RDC à R+2
Remplacement groupe sécurité ballon ECS, bâti de porte </t>
  </si>
  <si>
    <t>Mise en place d'un récupérateur de chaleur
Remettre en état les détecteurs de présence et Remplacement des luminaires
Traitement des infiltrations dans les menuiseries</t>
  </si>
  <si>
    <t>USS0D</t>
  </si>
  <si>
    <t>IUT QLIO</t>
  </si>
  <si>
    <t>VMC Sanitaires et 2 vasques à remplacer + Traitement corrosion radiateurs
Traitement trace de rouilles garde corps et joint verrière
Etude éclairement salles de cours</t>
  </si>
  <si>
    <t xml:space="preserve">Renforcement des contreventements (risque sismique classe 2)
Remplacement de 3 portes d'accès </t>
  </si>
  <si>
    <t xml:space="preserve">Mise en place CTA double flux, + groupe VRV chaud et froid 
Isolation des parois extérieures et  murs sur VS et remplacement des menuiseries
Remplacement éclairage intérieur part des éclairages LED </t>
  </si>
  <si>
    <t>USS0E</t>
  </si>
  <si>
    <t>Renforcement structure métallique et Traitement anti corrosion et peinture
Traitement fissures apparentes, angle façade, dalle cassée terrasse
Remplacement garde corps terrasse
Reprise partielle étanchéité
Finaliser le scénario de déménagement du BUT 3 informatique Fabron sur le site de Sophia
Mise en place de détecteurs de présence et remplacement des mousseurs manquants dans les sanitaires</t>
  </si>
  <si>
    <t xml:space="preserve">Remplacement de 3 portes d'accès </t>
  </si>
  <si>
    <t>Mise en place CTA double flux, ballon  ECS logement, + mise en place VRV Chaud/froid
Isolation des parois extérieures et  murs sur VS et remplacement des menuiseries
Remplacement des luminaires, minuteries sanitaires et remplacement PC fixes par portables</t>
  </si>
  <si>
    <t>USS0F</t>
  </si>
  <si>
    <t>Renforcement structure charpente métallique et traitement anti corrosion
Traitement fissures apparentes (hall, RDC et Niv 4, escalier, sous station)
Création petit escalier pour accès à la  terrasse
Remplacement de 4 radiateurs</t>
  </si>
  <si>
    <t>Rénovation étanchéité toit terrasse
Isolation des parois extérieures et  murs sur VS et remplacement des menuiseries
Mise en place CTA double flux, ballon  ECS logement, + mise en place VRV Chaud/froid
Remplacement des luminaires, minuteries sanitaires et remplacement PC fixes par portables</t>
  </si>
  <si>
    <t>USS0G</t>
  </si>
  <si>
    <t>USI0A</t>
  </si>
  <si>
    <t>Les Lucioles</t>
  </si>
  <si>
    <t>Localisation dans un site extensif, entraînant des temps de déplacement et de transport importants.</t>
  </si>
  <si>
    <t xml:space="preserve">Remplacement parement ext, peinture poteaux et reprise acrotère
Réparation menuiseries ext dégradés
Reprise sols PVC et protections solaires
Repositionnement des bouches de soufflages, désembouage +robinets thermostatiques des radiateurs, vieillissement chaudière et remplacement R22 (groupe froid)
Traitement anti corrosion menuiseries métalliques  dégradées  + Réparation parement pierres et briques de verre cassées </t>
  </si>
  <si>
    <t>Mise en place CTA double flux, mise en place VRV 
Remplacement des luminaires, minuterie sanitaires et remplacement PC fixes par portables</t>
  </si>
  <si>
    <t>USI0B</t>
  </si>
  <si>
    <t>Les Algorithmes</t>
  </si>
  <si>
    <t>Remplacement de 150 fenêtres
Nettoyage des façades
Remplacement de 48 clims au R22</t>
  </si>
  <si>
    <t>Contreventement latéral et fondation nouveau mur et création de voile en élévation (risque sismique classe 2)</t>
  </si>
  <si>
    <t>Isolation des parois extérieures et  murs sur VS
Mise en place VRV Chauffage refroidissement
Remplacement des luminaires, minuterie sanitaires et remplacement PC fixes par portables</t>
  </si>
  <si>
    <t>Grasse</t>
  </si>
  <si>
    <t>UGI0A</t>
  </si>
  <si>
    <t>Ancienne usine Roure</t>
  </si>
  <si>
    <t>Absence de stationnement dédié.
Partage du temps entre Grasse et Valrose pour les étudiants.</t>
  </si>
  <si>
    <t>k€</t>
  </si>
  <si>
    <t>2016</t>
  </si>
  <si>
    <t>2017</t>
  </si>
  <si>
    <t>2018</t>
  </si>
  <si>
    <t>2019</t>
  </si>
  <si>
    <t>2020</t>
  </si>
  <si>
    <t>2021</t>
  </si>
  <si>
    <t>2022</t>
  </si>
  <si>
    <t>2023</t>
  </si>
  <si>
    <t>2024</t>
  </si>
  <si>
    <t xml:space="preserve">Moyenne </t>
  </si>
  <si>
    <t>RESSOURCES FINANCIERES DE L'IMMOBILIER</t>
  </si>
  <si>
    <t>Fonctionnement</t>
  </si>
  <si>
    <t>Part de la SCSP</t>
  </si>
  <si>
    <t>Sub pour charge de service public</t>
  </si>
  <si>
    <t>Autres subventions</t>
  </si>
  <si>
    <t>Investissement</t>
  </si>
  <si>
    <t>Dotations et subventions</t>
  </si>
  <si>
    <t>Autres financements extérieurs (CPER, …)</t>
  </si>
  <si>
    <t>Fonds propres</t>
  </si>
  <si>
    <t>COÛT DE L'IMMOBILIER</t>
  </si>
  <si>
    <t>Charges de fonctionnement</t>
  </si>
  <si>
    <t>Fluides-énergies</t>
  </si>
  <si>
    <t>Electricité</t>
  </si>
  <si>
    <t>Gaz</t>
  </si>
  <si>
    <t>Eau</t>
  </si>
  <si>
    <t>Entretien - maintenance</t>
  </si>
  <si>
    <t>Nettoyage - déchets</t>
  </si>
  <si>
    <t>Sûreté - Sécurité - Gardiennage</t>
  </si>
  <si>
    <t>Loyers CC</t>
  </si>
  <si>
    <t>Coûts d'investissement</t>
  </si>
  <si>
    <t>GER</t>
  </si>
  <si>
    <t>Nature de l'opération GER 1</t>
  </si>
  <si>
    <t>Nature de l'opération GER 2</t>
  </si>
  <si>
    <t>Nature de l'opération GER 3</t>
  </si>
  <si>
    <t>Nature de l'opération GER 4</t>
  </si>
  <si>
    <t>Dépenses exceptionnelles d'investissement immobilier</t>
  </si>
  <si>
    <t>Aménagement et logistique</t>
  </si>
  <si>
    <t>Maintenance lourde - réhabilitation</t>
  </si>
  <si>
    <t>Transition énergétique</t>
  </si>
  <si>
    <t>Opérations de construction neuve</t>
  </si>
  <si>
    <t>Répartition sur la base de l'audit chaine métier du patrimoine de fin 2024</t>
  </si>
  <si>
    <t>FONCTION</t>
  </si>
  <si>
    <t>SERVICE / DIRECTION
DE RATTACHEMENT</t>
  </si>
  <si>
    <t>ETP</t>
  </si>
  <si>
    <t>Taux</t>
  </si>
  <si>
    <t>Effectif</t>
  </si>
  <si>
    <t>Tâches</t>
  </si>
  <si>
    <t>PROJECT MANAGEMENT</t>
  </si>
  <si>
    <t>Chargés d'Opérations Immobilières</t>
  </si>
  <si>
    <t>DP</t>
  </si>
  <si>
    <t>Analyser les besoins exprimés par la direction de l'établissement et les utilisateurs pour les opérations de construction neuve, de réhabilitation, mise en sécurité, efficacité énergétique ou de rénovation
Assurer ou faire assurer les conduites d'opérations de construction et de rénovation de bâtiments
Participer à la définition d'appels d'offres et assurer leur suivi</t>
  </si>
  <si>
    <t>Ingénieur d'études et technicien</t>
  </si>
  <si>
    <t>DSI</t>
  </si>
  <si>
    <t>Etudes et suivi des projets patrimoniaux ayant un impact sur le CFA</t>
  </si>
  <si>
    <t xml:space="preserve">Ingénieur </t>
  </si>
  <si>
    <t>DGS</t>
  </si>
  <si>
    <t>Accompagnement PMO et restructuration Chaine métier patrimoine (TAC)</t>
  </si>
  <si>
    <t>Ingénieur d'études</t>
  </si>
  <si>
    <t>D2P / SID</t>
  </si>
  <si>
    <t>Mise en place Système d'information</t>
  </si>
  <si>
    <t>ASSET MANAGEMENT</t>
  </si>
  <si>
    <t>Directeur et Directrice Adjointe</t>
  </si>
  <si>
    <t xml:space="preserve">Conduire les réflexions prospectives sur l'évolution du patrimoine immobilier et conseiller la gouvernance pour la définition de la politique immobilière durable de l'établissement
Définir la politique de gestion des actifs immobiliers et mettre en œuvre la stratégie immobilière
Décliner la politique immobilière sous la forme de schémas directeurs stratégiques
Assurer la responsabilité de la maîtrise d'ouvrage de projets immobiliers
Conseiller la direction de l'établissement dans le domaine du patrimoine </t>
  </si>
  <si>
    <t>Responsable service et assistante</t>
  </si>
  <si>
    <r>
      <t xml:space="preserve">DP
</t>
    </r>
    <r>
      <rPr>
        <sz val="9"/>
        <rFont val="Aptos Narrow"/>
        <scheme val="minor"/>
      </rPr>
      <t>SIP</t>
    </r>
  </si>
  <si>
    <t>Gestion Système d'information et données Patrimoniale
Harmonisation des processus, Gestion des données et Pilotage et reporting</t>
  </si>
  <si>
    <r>
      <t xml:space="preserve">3DS
</t>
    </r>
    <r>
      <rPr>
        <sz val="9"/>
        <rFont val="Aptos Narrow"/>
        <family val="2"/>
        <scheme val="minor"/>
      </rPr>
      <t xml:space="preserve"> Pôle valorisation</t>
    </r>
  </si>
  <si>
    <t>Etude et suivi d'opérations de rénovation du patrimoine, recherche de financement. 
Valorisation du patrimoine, actions de promotion  du patrimoine</t>
  </si>
  <si>
    <t>Directeur Général des Services - Chargée de mission et assistante</t>
  </si>
  <si>
    <t xml:space="preserve">Définition de la stratégie immobilière : alignement avec le plan stratégique de l'établissement, en lien avec la Gouvernance, la Chargée de Mission stratégie immobilière, les Services centraux et Campus
Arbitrages ayant un impact stratégique, financier, organisationnel
Pilotage de la définition et de la mise en œuvre de la politique immobilière (SPSI) : en lien avec la Gouvernance, la DGS, les Services centraux et Campus 
Pilotage de la procédure de dévolution du patrimoine :  en lien avec la Gouvernance, la DGS, les Services centraux et Campus 
Pilotage de la  valorisation immobilière (asset management) :  en lien avec la DGS, la DAJIM, la DP et les Campus </t>
  </si>
  <si>
    <t>Directeur Affaires Générales</t>
  </si>
  <si>
    <t>3DS</t>
  </si>
  <si>
    <t>Stratégie et supervision sujets DD&amp;RS /Animation projet pôle sureté et prévention
Supervision pôle valorisation</t>
  </si>
  <si>
    <t>Direction et responsables budget et PAFP</t>
  </si>
  <si>
    <t>DAF</t>
  </si>
  <si>
    <t>Coordination finances avec les campus et services centraux - Gestion budget établissement</t>
  </si>
  <si>
    <t>Directeurs Général des Services Adjoints</t>
  </si>
  <si>
    <t>Coordination des campus, organisationnel et RH et Financier et stratégie (DGSA)</t>
  </si>
  <si>
    <t>Responsable Juridique Patrimoine</t>
  </si>
  <si>
    <t>DAJIM</t>
  </si>
  <si>
    <t>Conseil juridique et aide à la décision stratégique dans les domaines du droit de la propriété publique, de la domanialité publique et du droit de l'urbanisme - Analyse de risques, montage juridique - Négociation accords stratégiques</t>
  </si>
  <si>
    <t xml:space="preserve">Directeur </t>
  </si>
  <si>
    <t>DVU</t>
  </si>
  <si>
    <t>Gestion stratégique des installations sportives-santé et Vie étudiante - Occupation des locaux des campus</t>
  </si>
  <si>
    <t>Directrice</t>
  </si>
  <si>
    <r>
      <t xml:space="preserve">D2P
</t>
    </r>
    <r>
      <rPr>
        <sz val="9"/>
        <rFont val="Aptos Narrow"/>
        <scheme val="minor"/>
      </rPr>
      <t>SID</t>
    </r>
  </si>
  <si>
    <t>Stratégie - Système d'Information Décisionnel</t>
  </si>
  <si>
    <t>PROPERTY MANAGEMENT</t>
  </si>
  <si>
    <t>Directeurs administratifs (DAC)</t>
  </si>
  <si>
    <t>Gestion administrative, technique et financière des campus - Encadrement des équipes technique, logistiques, sécurité et sureté</t>
  </si>
  <si>
    <t>Responsable et gestionnaires</t>
  </si>
  <si>
    <r>
      <t xml:space="preserve">DAF
</t>
    </r>
    <r>
      <rPr>
        <sz val="9"/>
        <rFont val="Aptos Narrow"/>
        <family val="2"/>
        <scheme val="minor"/>
      </rPr>
      <t>Pôle Gestion financière</t>
    </r>
  </si>
  <si>
    <t>Gestion financière des campus</t>
  </si>
  <si>
    <t>Gestionnaire de personnels</t>
  </si>
  <si>
    <t>DRH</t>
  </si>
  <si>
    <t>Gestion des personnel (dédiés au patrimoine) : recrutement, formation, carrière, paie, qvct, encadrement, pilotage etc.</t>
  </si>
  <si>
    <t>Responsable service, gestionnaire et assistant</t>
  </si>
  <si>
    <r>
      <t xml:space="preserve">DP
</t>
    </r>
    <r>
      <rPr>
        <sz val="9"/>
        <rFont val="Aptos Narrow"/>
        <scheme val="minor"/>
      </rPr>
      <t>SAGM</t>
    </r>
  </si>
  <si>
    <t>Assurer la gestion financière et comptable des dépenses et/ou recettes de l'établissement ou de la structure opérationnelle de recherche
Réaliser des actes de gestion administrative dans le respect des techniques, des règles et des procédures applicables au domaine de la gestion financière et/ou comptable</t>
  </si>
  <si>
    <t>Direction , ingénieurs, chargé de mission, responsable et secrétaire</t>
  </si>
  <si>
    <t>Priorisation, supervision, validation, de l'ensemble des missions supports exercées au sein de la DAJIM en lien avec le "Patrimoine immobilier" ; Processus de mise en œuvre des conventions et montages contractuels (autorisation d'occupation temporaire du domaine public; baux...) ; Appui au projet Dévolution - Gestion d'un portefeuille "Assurance" - Formalisation des actes relevant du Patrimoine immobilier auprès du Conseil d'Administration de l'Etablissement - Gestion du process d'attribution des logements de fonction -  Acculturation à la gestion des archives et gestion des espaces de stockages</t>
  </si>
  <si>
    <t>Direction et manageur équipe réseau</t>
  </si>
  <si>
    <t>Gestion et animation de la direction des systèmes d'informations et de l'équipe réseau.
Anticipation des projets patrimoniaux qui comportent un volet CFA, Suivi macro des chantiers, Apporte du liant entre les directions/services concernés (campus, DP, 3DS, DSI,..).
Manage l'équipe Réseau et accompagne/conseille l'équipe sur les différents projets conduits.</t>
  </si>
  <si>
    <t>Rédacteurs marchés</t>
  </si>
  <si>
    <r>
      <t xml:space="preserve">DAF
</t>
    </r>
    <r>
      <rPr>
        <sz val="9"/>
        <rFont val="Aptos Narrow"/>
        <family val="2"/>
        <scheme val="minor"/>
      </rPr>
      <t>Service Marchés publics - Fourniture et services</t>
    </r>
  </si>
  <si>
    <t>Rédaction marchés publics de fournitures et de services</t>
  </si>
  <si>
    <t xml:space="preserve">Assistant </t>
  </si>
  <si>
    <t>Assistance suivi de projets/Alternante Master (2 ans)</t>
  </si>
  <si>
    <t>Secrétaire de direction</t>
  </si>
  <si>
    <r>
      <t xml:space="preserve">DP
</t>
    </r>
    <r>
      <rPr>
        <sz val="9"/>
        <rFont val="Aptos Narrow"/>
        <scheme val="minor"/>
      </rPr>
      <t>Secrétariat</t>
    </r>
  </si>
  <si>
    <t xml:space="preserve">Gestion des plannings et du fonctionnement des services de la direction du patrimoine - interaction services centraux et campus </t>
  </si>
  <si>
    <t>Assistant des affaires juridiques</t>
  </si>
  <si>
    <r>
      <t xml:space="preserve">DP
</t>
    </r>
    <r>
      <rPr>
        <sz val="9"/>
        <rFont val="Aptos Narrow"/>
        <scheme val="minor"/>
      </rPr>
      <t>Affaire Juridique</t>
    </r>
  </si>
  <si>
    <t>Contribuer à l'instruction des dossiers juridiques, participer à l'élaboration des textes normatifs et assure le suivi des procédures contentieuses.</t>
  </si>
  <si>
    <t>Directrice adjointe et agent</t>
  </si>
  <si>
    <t>Gestion des agents d'accueil et des plannings sur les centres sportifs.
Gestion des planning et locations des infrastructures sportives à des tiers sur les temps creux. Interaction avec les campus via des documents partagés pour informer de la présence d'extérieur et les modalités d'accès</t>
  </si>
  <si>
    <t>Responsable service et gestionnaire financière</t>
  </si>
  <si>
    <t>Gestion des marchés des marchés publics et de services</t>
  </si>
  <si>
    <t>FACILITY MANAGEMENT</t>
  </si>
  <si>
    <r>
      <t>Agents et Techniciens de</t>
    </r>
    <r>
      <rPr>
        <b/>
        <sz val="11"/>
        <rFont val="Aptos Narrow"/>
        <family val="2"/>
        <scheme val="minor"/>
      </rPr>
      <t xml:space="preserve"> Logistique</t>
    </r>
  </si>
  <si>
    <t>Assurer les interventions de la gestion courante de la logistique comme : l'accueil physique et téléphonique, le courrier, le gardiennage (hors contrat), de fermeture des campus, la gestion des magasins et du parc automobile, le nettoyage de certains locaux (hors contrats)
Assurer le contrôle des prestations de nettoyage (sous contrat), les services d'appariteurs et de manutention etc.
Assurer l'interface et le suivi technique des prestations avec les entreprises intervenant sur site dans son domaine d'activité
Veiller à la bonne tenue de l'environnement pédagogique soutien logistique lors d'évènementiel et faire appliquer les consignes de sécurité
Prendre en charge les demandes de reprographie, gestion du stock et des consommables</t>
  </si>
  <si>
    <t>Agents et Techniciens de Maintenance</t>
  </si>
  <si>
    <t>Assurer les petits travaux de maintenance et d'entretien courant (hors contrats) des sites : plomberie, électricité, espaces verts, contrôle d'équipements des installations techniques
Assurer l'interface et le suivi technique en interne ou avec des entreprises extérieures, coordonner leurs interventions
Suivre les prestations de maintenance des contrats multitechniques
Suivre les travaux des opérations de niveau 4 
Assurer le suivi en matière d'hygiène et de sécurité des opérations</t>
  </si>
  <si>
    <t>Agents et Techniciens Hygiène, Sécurité, Prévention</t>
  </si>
  <si>
    <t>Participer à l'élaboration du document unique d'évaluation des risques et au suivi du plan d'action
Met en œuvre les actions permettant d'assurer la protection des personnes, des biens et de l'environnement
Organiser les actions et assurer les interventions permettant d'assurer la prévention incendie, sécurité  et sureté
Organiser et assurer le suivi des essais, des vérifications et des contrôles prévus par les réglementations relatifs à la prévention de l'ensemble des risques (biologie, chimie, radioprotection , déchets…..)
Participer à la tenue des registres réglementaires</t>
  </si>
  <si>
    <t>Responsables Techniques / Logistique/ Sécurité</t>
  </si>
  <si>
    <t xml:space="preserve">Technicien sureté-sécurité </t>
  </si>
  <si>
    <r>
      <t xml:space="preserve">3DS
</t>
    </r>
    <r>
      <rPr>
        <sz val="9"/>
        <rFont val="Aptos Narrow"/>
        <scheme val="minor"/>
      </rPr>
      <t>Pôle Sureté/Sécurité</t>
    </r>
  </si>
  <si>
    <t>Déploiement des dispositifs de sûreté (caméra, contrôle d'accès..) de l'établissement - Assistance et appui campus</t>
  </si>
  <si>
    <t>Responsable établissement et chargé maintenance</t>
  </si>
  <si>
    <r>
      <t xml:space="preserve">DP
 </t>
    </r>
    <r>
      <rPr>
        <sz val="9"/>
        <rFont val="Aptos Narrow"/>
        <scheme val="minor"/>
      </rPr>
      <t>Maintenance Exploitation</t>
    </r>
  </si>
  <si>
    <t>Manager, organiser et coordonner les activités de services immobiliers internes ou externes
Piloter la réalisation des diagnostics et l'élaboration des préconisations techniques
Piloter la réalisation des contrats de maintenance (organiser, étudier, planifier, contrôler et réceptionner)
Assurer la bonne gestion de l'exploitation des installations électriques courants fort ou faible</t>
  </si>
  <si>
    <t>Gestionnaire bâtiment et financière</t>
  </si>
  <si>
    <r>
      <t xml:space="preserve">3DS
</t>
    </r>
    <r>
      <rPr>
        <sz val="9"/>
        <rFont val="Aptos Narrow"/>
        <scheme val="minor"/>
      </rPr>
      <t>Delvalle</t>
    </r>
  </si>
  <si>
    <t>Gestion du bâtiment et gestion financière du bâtiment Delvalle</t>
  </si>
  <si>
    <t>Responsable du service et chargé d'hygiène et sécurité</t>
  </si>
  <si>
    <r>
      <t xml:space="preserve">3DS
</t>
    </r>
    <r>
      <rPr>
        <sz val="9"/>
        <rFont val="Aptos Narrow"/>
        <scheme val="minor"/>
      </rPr>
      <t xml:space="preserve"> Pôle Prévention</t>
    </r>
  </si>
  <si>
    <t>Conseiller et assister le chef d'établissement dans la définition et la mise en œuvre des règles de santé et de sécurité au travail
Piloter l'élaboration du document unique d'évaluation des risques et le suivi du plan d'action
Veiller à la bonne application des règles en matière de santé et prévention des risques
Former, informer, sensibiliser et travailler en concertation avec les acteurs de prévention
Gestion, organisation de l'hygiène et de la sécurité de l'établissement - Organisation équipe référents de sites 
Etude ergonomique d'adaptation des locaux à l'usage
Conseil sur l'adaptation de locaux par rapport au risque biologique, radiologique et OGM</t>
  </si>
  <si>
    <t>Chargé d'hygiène et de sécurité</t>
  </si>
  <si>
    <r>
      <t xml:space="preserve">3DS 
</t>
    </r>
    <r>
      <rPr>
        <sz val="9"/>
        <rFont val="Aptos Narrow"/>
        <scheme val="minor"/>
      </rPr>
      <t xml:space="preserve"> Pôle DD &amp; RS</t>
    </r>
  </si>
  <si>
    <t xml:space="preserve">Supervision des inventaires de biodiversité, étude projets eaux, conseil gestion bâtiment durable, étude et exploitation du réseau de recharge électrique par bornes - gestionnaire flotte automobile </t>
  </si>
  <si>
    <r>
      <rPr>
        <b/>
        <u/>
        <sz val="11"/>
        <color theme="1"/>
        <rFont val="Aptos Narrow"/>
        <family val="2"/>
        <scheme val="minor"/>
      </rPr>
      <t>Nota</t>
    </r>
    <r>
      <rPr>
        <b/>
        <sz val="11"/>
        <color theme="1"/>
        <rFont val="Aptos Narrow"/>
        <family val="2"/>
        <scheme val="minor"/>
      </rPr>
      <t xml:space="preserve"> :  </t>
    </r>
    <r>
      <rPr>
        <sz val="11"/>
        <color theme="1"/>
        <rFont val="Aptos Narrow"/>
        <family val="2"/>
        <scheme val="minor"/>
      </rPr>
      <t>les 37 agents de l’agence comptable (non comptabilisés) feront l’objet d’un complément avec une étude détaillée début 2026</t>
    </r>
  </si>
  <si>
    <t>Remplacement ventilation et CTA vétuste 
Traitement fissures extérieures
Réfection façades (parement pierres endommagées)</t>
  </si>
  <si>
    <t xml:space="preserve">Salle de sport </t>
  </si>
  <si>
    <t>IFMK</t>
  </si>
  <si>
    <t xml:space="preserve">Parking </t>
  </si>
  <si>
    <t>Portes d'entrée à remplacer</t>
  </si>
  <si>
    <t>Assurer le suivi technique, logistique, sécurité, administratif et financier du site
Piloter et suivre les diagnostics et travaux de maintenance
Préparer les études (descriptifs travaux, estimation financière)
Encadrement des équipes internes et externes
Suivre et gérer les travaux des opérations de niveau 4 et l'appui à la direction du patrimoine pour les opérations de niveau 5
Gérer les tableaux de bord</t>
  </si>
  <si>
    <t>Accès difficile par la ligne T2 du tramway, située à 450m (7 minutes à pied).
Locaux utilisés le soir et le samedi matin en raison des disponibilités des enseignants et étudiants, ainsi que des examens.
Nombre limité de places de stationnement pour le personnel et les étudiants et saturation fréquente sur le campus et domaine public
Nombre insuffisant de salles de TD de 35 personnes.
Nombre insuffisant de bureaux, certains enseignants occupent des salles de cours.
Potentiel foncier de 400m² dans un bâtiment du CROUS, pouvant répondre en partie aux besoins identifiés.</t>
  </si>
  <si>
    <t>Accès difficile depuis la faculté de Médecine.
Problème de norme pour l’animalerie.
Occupation à environ 60% de sa capacité.</t>
  </si>
  <si>
    <t>Espace restauration non prévu
Utilisation des salles de cours et de réunion pour mettre aux utilisateurs de déjeuner.</t>
  </si>
  <si>
    <t xml:space="preserve">Fermeture de l’offre de restauration faute d’effectifs suffisants.
Site géré par le Département CD83, les formations de l’INSPE sont hébergées sur le site ainsi que d’autres institutions publiques et privées, les équipes logistiques et accueil sont mutualisées. </t>
  </si>
  <si>
    <t>Salle de musculation dépassée et trop petite (80 m²).
Projet d’une salle de cours collectifs de 160 m² est à l’étude.</t>
  </si>
  <si>
    <t>Positionnement de l'administration au dernier étage, pas d'accueil physique au RDC.
Absence d'espaces sportifs internes.</t>
  </si>
  <si>
    <t>Besoin de maintenir et améliorer l'offre sportive et culturelle.
Présence de nombreux service centraux occupant des espaces pouvant être dédiés aux offres de formations.
Opération Campus Santé programmée avec résidence étudiante CROUS d'environ 240 chambres.</t>
  </si>
  <si>
    <t xml:space="preserve">Absence d’équipements sportifs propres.
Temps de déplacement et de transport importants.
Faible performance en matière de confort d’été sur certains locaux, dégagements et parkings (qui ne sont pas suffisamment végétalisés).
Les résidences universitaires du CROUS ne se trouvent pas à proximité immédiate.  </t>
  </si>
  <si>
    <t>Copropriété
Distribution des espaces à optimiser
Typologie des bureaux obsolète et peu adaptable.
Espaces d’expérimentation inadaptés pour les travaux du laboratoire I3S.
Difficulté à assurer le statut de certains laboratoires classés en ZRR (en cours d'élaboration).
Pas de résidence étudiante à moins de 2,5 kms.</t>
  </si>
  <si>
    <t>Stationnement dédié limité.
Excentrement du site, de la ville.
Absence d'espace de documentation.
Absence d'offre de restauration sur place ou à proximité immédiate.</t>
  </si>
  <si>
    <t>Équipements sportifs extérieurs en mauvais état.
Projet de construction neuve et de rénovation (effectifs de Georges V) avec regroupement des formations du site de George V et du site de Liégeard</t>
  </si>
  <si>
    <t>SUB/POSTE DE TRAVAIL</t>
  </si>
  <si>
    <t>SUB/RESIDENT</t>
  </si>
  <si>
    <t>SJA 2 SCIENCES DE L'HOMME/IAE</t>
  </si>
  <si>
    <t xml:space="preserve">  9 RT + 152 Agents terrain (logi+maint+HSP)= 161= au rapport d'audit chaine métiers patrimoine de fin déc 2024</t>
  </si>
  <si>
    <r>
      <t>Utilisez la fonctionnalité "Listes détaillées" de l'OAD en sélectionnant les critères "</t>
    </r>
    <r>
      <rPr>
        <b/>
        <sz val="10"/>
        <color theme="4"/>
        <rFont val="Arial"/>
        <family val="2"/>
      </rPr>
      <t>Surfaces</t>
    </r>
    <r>
      <rPr>
        <b/>
        <sz val="10"/>
        <color theme="1"/>
        <rFont val="Arial"/>
        <family val="2"/>
      </rPr>
      <t>", "</t>
    </r>
    <r>
      <rPr>
        <b/>
        <sz val="10"/>
        <color theme="4"/>
        <rFont val="Arial"/>
        <family val="2"/>
      </rPr>
      <t>Effectifs</t>
    </r>
    <r>
      <rPr>
        <b/>
        <sz val="10"/>
        <color theme="1"/>
        <rFont val="Arial"/>
        <family val="2"/>
      </rPr>
      <t>", "</t>
    </r>
    <r>
      <rPr>
        <b/>
        <sz val="10"/>
        <color rgb="FFFF5050"/>
        <rFont val="Arial"/>
        <family val="2"/>
      </rPr>
      <t>Bail/CODHC</t>
    </r>
    <r>
      <rPr>
        <b/>
        <sz val="10"/>
        <color theme="1"/>
        <rFont val="Arial"/>
        <family val="2"/>
      </rPr>
      <t xml:space="preserve">" pour extraire les données générales de votre parc. Ajoutez votre extraction au document en renommant l'onglet "Données Générales Extraites". Si les données de l'OAD diffèrent de vos données réelles, merci de compléter le tableau ci-dessous.
</t>
    </r>
    <r>
      <rPr>
        <b/>
        <sz val="10"/>
        <color rgb="FF0070C0"/>
        <rFont val="Arial"/>
        <family val="2"/>
      </rPr>
      <t>NOTA de l'opérateur : le RT-ESR n'étant pas complètement fiabilisé à ce jour, les analyses issues de l'OAD manquent de pertinence. Les données sont donc issues d'Active3D et correspondent à la réalité du parc d'Université Côte d'Azur au 31/12/2024.</t>
    </r>
  </si>
  <si>
    <r>
      <t xml:space="preserve">Base </t>
    </r>
    <r>
      <rPr>
        <b/>
        <sz val="11"/>
        <rFont val="Aptos Narrow"/>
        <family val="2"/>
        <scheme val="minor"/>
      </rPr>
      <t>SUB (hors stationnement) à 0,87 SDP</t>
    </r>
    <r>
      <rPr>
        <sz val="11"/>
        <rFont val="Aptos Narrow"/>
        <family val="2"/>
        <scheme val="minor"/>
      </rPr>
      <t xml:space="preserve"> en attendant fiabilisation fin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</si>
</sst>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
    <numFmt numFmtId="165" formatCode="_-* #,##0_-;\-* #,##0_-;_-* &quot;-&quot;??_-;_-@_-"/>
  </numFmts>
  <fonts count="48" x14ac:knownFonts="1">
    <font>
      <sz val="11"/>
      <color theme="1"/>
      <name val="Aptos Narrow"/>
      <family val="2"/>
      <scheme val="minor"/>
    </font>
    <font>
      <sz val="11"/>
      <color theme="1"/>
      <name val="Aptos Narrow"/>
      <family val="2"/>
      <scheme val="minor"/>
    </font>
    <font>
      <b/>
      <sz val="10"/>
      <color theme="1"/>
      <name val="Arial"/>
      <family val="2"/>
    </font>
    <font>
      <sz val="10"/>
      <name val="Arial"/>
      <family val="2"/>
    </font>
    <font>
      <b/>
      <sz val="10"/>
      <color theme="0"/>
      <name val="Arial"/>
      <family val="2"/>
    </font>
    <font>
      <i/>
      <sz val="10"/>
      <color theme="1"/>
      <name val="Arial"/>
      <family val="2"/>
    </font>
    <font>
      <b/>
      <sz val="10"/>
      <name val="Arial"/>
      <family val="2"/>
    </font>
    <font>
      <sz val="11"/>
      <name val="Aptos Narrow"/>
      <family val="2"/>
      <scheme val="minor"/>
    </font>
    <font>
      <i/>
      <sz val="10"/>
      <name val="Arial"/>
      <family val="2"/>
    </font>
    <font>
      <b/>
      <sz val="10"/>
      <color theme="4"/>
      <name val="Arial"/>
      <family val="2"/>
    </font>
    <font>
      <b/>
      <sz val="10"/>
      <color rgb="FFFF5050"/>
      <name val="Arial"/>
      <family val="2"/>
    </font>
    <font>
      <sz val="9"/>
      <color rgb="FFFF0000"/>
      <name val="Arial"/>
      <family val="2"/>
    </font>
    <font>
      <sz val="9"/>
      <color theme="1"/>
      <name val="Arial"/>
      <family val="2"/>
    </font>
    <font>
      <sz val="10"/>
      <color rgb="FFFF0000"/>
      <name val="Arial"/>
      <family val="2"/>
    </font>
    <font>
      <i/>
      <sz val="11"/>
      <color theme="1"/>
      <name val="Arial"/>
      <family val="2"/>
    </font>
    <font>
      <b/>
      <i/>
      <sz val="10"/>
      <name val="Arial"/>
      <family val="2"/>
    </font>
    <font>
      <i/>
      <sz val="12"/>
      <color theme="1"/>
      <name val="Arial"/>
      <family val="2"/>
    </font>
    <font>
      <b/>
      <i/>
      <sz val="11"/>
      <name val="Arial"/>
      <family val="2"/>
    </font>
    <font>
      <b/>
      <i/>
      <sz val="12"/>
      <name val="Arial"/>
      <family val="2"/>
    </font>
    <font>
      <sz val="8"/>
      <color theme="1"/>
      <name val="Arial"/>
      <family val="2"/>
    </font>
    <font>
      <i/>
      <sz val="8"/>
      <color theme="1"/>
      <name val="Arial"/>
      <family val="2"/>
    </font>
    <font>
      <sz val="8"/>
      <name val="Aptos Narrow"/>
      <family val="2"/>
      <scheme val="minor"/>
    </font>
    <font>
      <b/>
      <sz val="10"/>
      <color rgb="FFFFFF00"/>
      <name val="Arial"/>
      <family val="2"/>
    </font>
    <font>
      <sz val="11"/>
      <color rgb="FFFF0000"/>
      <name val="Aptos Narrow"/>
      <family val="2"/>
      <scheme val="minor"/>
    </font>
    <font>
      <sz val="11"/>
      <color rgb="FF0070C0"/>
      <name val="Aptos Narrow"/>
      <family val="2"/>
      <scheme val="minor"/>
    </font>
    <font>
      <b/>
      <sz val="11"/>
      <color rgb="FFFF0000"/>
      <name val="Aptos Narrow"/>
      <family val="2"/>
      <scheme val="minor"/>
    </font>
    <font>
      <sz val="10"/>
      <color rgb="FF0070C0"/>
      <name val="Arial"/>
      <family val="2"/>
    </font>
    <font>
      <i/>
      <sz val="11"/>
      <name val="Aptos Narrow"/>
      <family val="2"/>
      <scheme val="minor"/>
    </font>
    <font>
      <sz val="10"/>
      <color theme="1"/>
      <name val="Aptos Narrow"/>
      <family val="2"/>
      <scheme val="minor"/>
    </font>
    <font>
      <sz val="11"/>
      <color rgb="FF0070C0"/>
      <name val="Aptos Narrow"/>
      <family val="2"/>
    </font>
    <font>
      <sz val="9"/>
      <name val="Aptos Narrow"/>
      <family val="2"/>
      <scheme val="minor"/>
    </font>
    <font>
      <sz val="9"/>
      <name val="Aptos Narrow"/>
      <scheme val="minor"/>
    </font>
    <font>
      <b/>
      <u/>
      <sz val="11"/>
      <color theme="1"/>
      <name val="Aptos Narrow"/>
      <family val="2"/>
      <scheme val="minor"/>
    </font>
    <font>
      <b/>
      <sz val="10"/>
      <color theme="5" tint="-0.499984740745262"/>
      <name val="Arial"/>
      <family val="2"/>
    </font>
    <font>
      <b/>
      <sz val="11"/>
      <color theme="1"/>
      <name val="Aptos Narrow"/>
      <family val="2"/>
      <scheme val="minor"/>
    </font>
    <font>
      <b/>
      <i/>
      <sz val="11"/>
      <color rgb="FF0070C0"/>
      <name val="Aptos Narrow"/>
      <scheme val="minor"/>
    </font>
    <font>
      <b/>
      <sz val="11"/>
      <name val="Aptos Narrow"/>
      <family val="2"/>
      <scheme val="minor"/>
    </font>
    <font>
      <b/>
      <sz val="11"/>
      <name val="Aptos Narrow"/>
      <scheme val="minor"/>
    </font>
    <font>
      <i/>
      <sz val="11"/>
      <name val="Arial"/>
      <family val="2"/>
    </font>
    <font>
      <sz val="11"/>
      <color rgb="FF242424"/>
      <name val="Aptos Narrow"/>
    </font>
    <font>
      <b/>
      <i/>
      <sz val="11"/>
      <color theme="1"/>
      <name val="Arial"/>
      <family val="2"/>
    </font>
    <font>
      <b/>
      <i/>
      <sz val="10"/>
      <color theme="1"/>
      <name val="Arial"/>
      <family val="2"/>
    </font>
    <font>
      <b/>
      <i/>
      <sz val="12"/>
      <color theme="1"/>
      <name val="Arial"/>
      <family val="2"/>
    </font>
    <font>
      <sz val="11"/>
      <color rgb="FF000000"/>
      <name val="Aptos Narrow"/>
      <family val="2"/>
      <scheme val="minor"/>
    </font>
    <font>
      <i/>
      <sz val="10"/>
      <color rgb="FF000000"/>
      <name val="Arial"/>
      <family val="2"/>
    </font>
    <font>
      <b/>
      <i/>
      <sz val="11"/>
      <color rgb="FF000000"/>
      <name val="Arial"/>
      <family val="2"/>
    </font>
    <font>
      <b/>
      <sz val="10"/>
      <color rgb="FF0070C0"/>
      <name val="Arial"/>
      <family val="2"/>
    </font>
    <font>
      <sz val="9"/>
      <name val="Arial"/>
      <family val="2"/>
    </font>
  </fonts>
  <fills count="16">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0070C0"/>
        <bgColor indexed="64"/>
      </patternFill>
    </fill>
    <fill>
      <patternFill patternType="solid">
        <fgColor rgb="FF00B0F0"/>
        <bgColor indexed="64"/>
      </patternFill>
    </fill>
    <fill>
      <patternFill patternType="solid">
        <fgColor theme="5" tint="0.39997558519241921"/>
        <bgColor indexed="64"/>
      </patternFill>
    </fill>
    <fill>
      <patternFill patternType="solid">
        <fgColor theme="3" tint="0.89999084444715716"/>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79998168889431442"/>
        <bgColor indexed="64"/>
      </patternFill>
    </fill>
  </fills>
  <borders count="6">
    <border>
      <left/>
      <right/>
      <top/>
      <bottom/>
      <diagonal/>
    </border>
    <border>
      <left style="thin">
        <color theme="6"/>
      </left>
      <right style="thin">
        <color theme="6"/>
      </right>
      <top style="thin">
        <color theme="6"/>
      </top>
      <bottom style="medium">
        <color theme="6"/>
      </bottom>
      <diagonal/>
    </border>
    <border>
      <left style="thin">
        <color theme="6"/>
      </left>
      <right style="thin">
        <color theme="6"/>
      </right>
      <top style="double">
        <color theme="6"/>
      </top>
      <bottom style="thin">
        <color theme="6"/>
      </bottom>
      <diagonal/>
    </border>
    <border>
      <left style="thin">
        <color theme="6"/>
      </left>
      <right style="thin">
        <color theme="6"/>
      </right>
      <top style="thin">
        <color theme="6"/>
      </top>
      <bottom style="double">
        <color theme="6"/>
      </bottom>
      <diagonal/>
    </border>
    <border>
      <left style="thin">
        <color theme="6"/>
      </left>
      <right style="thin">
        <color theme="6"/>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14">
    <xf numFmtId="0" fontId="0" fillId="0" borderId="0" xfId="0"/>
    <xf numFmtId="0" fontId="2" fillId="0" borderId="0" xfId="0" applyFont="1" applyAlignment="1">
      <alignment horizontal="lef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horizontal="center"/>
    </xf>
    <xf numFmtId="0" fontId="2" fillId="2" borderId="0" xfId="0" applyFont="1" applyFill="1" applyAlignment="1">
      <alignment horizontal="center" vertical="center"/>
    </xf>
    <xf numFmtId="0" fontId="3" fillId="3" borderId="0" xfId="0" applyFont="1" applyFill="1" applyAlignment="1">
      <alignment horizontal="center" vertical="center" wrapText="1"/>
    </xf>
    <xf numFmtId="0" fontId="6" fillId="3" borderId="0" xfId="0" applyFont="1" applyFill="1" applyAlignment="1">
      <alignment horizontal="center" vertical="center" wrapText="1"/>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6" fillId="5" borderId="0" xfId="0" applyFont="1" applyFill="1" applyAlignment="1">
      <alignment horizontal="center" vertical="center" wrapText="1"/>
    </xf>
    <xf numFmtId="0" fontId="7" fillId="5" borderId="0" xfId="0" applyFont="1" applyFill="1" applyAlignment="1">
      <alignment horizontal="center" vertical="center" wrapText="1"/>
    </xf>
    <xf numFmtId="0" fontId="0" fillId="0" borderId="0" xfId="0" applyAlignment="1">
      <alignment vertical="center" wrapText="1"/>
    </xf>
    <xf numFmtId="0" fontId="2" fillId="0" borderId="0" xfId="0" applyFont="1" applyAlignment="1">
      <alignment horizontal="centerContinuous" vertical="center" wrapText="1"/>
    </xf>
    <xf numFmtId="0" fontId="0" fillId="0" borderId="0" xfId="0" applyAlignment="1">
      <alignment horizontal="centerContinuous" vertical="center" wrapText="1"/>
    </xf>
    <xf numFmtId="0" fontId="0" fillId="0" borderId="0" xfId="0" applyAlignment="1">
      <alignment horizontal="centerContinuous"/>
    </xf>
    <xf numFmtId="0" fontId="12"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wrapText="1"/>
    </xf>
    <xf numFmtId="0" fontId="0" fillId="0" borderId="0" xfId="0" applyAlignment="1">
      <alignment wrapText="1"/>
    </xf>
    <xf numFmtId="0" fontId="5" fillId="0" borderId="0" xfId="0" applyFont="1" applyAlignment="1">
      <alignment wrapText="1"/>
    </xf>
    <xf numFmtId="0" fontId="14" fillId="0" borderId="0" xfId="0" applyFont="1" applyAlignment="1">
      <alignment horizontal="center" vertical="center"/>
    </xf>
    <xf numFmtId="0" fontId="5" fillId="0" borderId="0" xfId="0" applyFont="1" applyAlignment="1">
      <alignment horizontal="center" vertical="center"/>
    </xf>
    <xf numFmtId="0" fontId="16" fillId="0" borderId="0" xfId="0" applyFont="1" applyAlignment="1">
      <alignment horizontal="center" vertical="center"/>
    </xf>
    <xf numFmtId="0" fontId="2" fillId="0" borderId="0" xfId="0" applyFont="1" applyAlignment="1">
      <alignment horizontal="left" vertical="center" wrapText="1"/>
    </xf>
    <xf numFmtId="2" fontId="3" fillId="3" borderId="0" xfId="0" applyNumberFormat="1" applyFont="1" applyFill="1" applyAlignment="1">
      <alignment horizontal="center" vertical="center" wrapText="1"/>
    </xf>
    <xf numFmtId="0" fontId="15" fillId="3" borderId="3" xfId="0" applyFont="1" applyFill="1" applyBorder="1" applyAlignment="1">
      <alignment horizontal="center" vertical="center"/>
    </xf>
    <xf numFmtId="2" fontId="15" fillId="3" borderId="3" xfId="0" applyNumberFormat="1" applyFont="1" applyFill="1" applyBorder="1" applyAlignment="1">
      <alignment horizontal="center" vertical="center"/>
    </xf>
    <xf numFmtId="2" fontId="15" fillId="3" borderId="3" xfId="1" applyNumberFormat="1" applyFont="1" applyFill="1" applyBorder="1" applyAlignment="1">
      <alignment horizontal="center" vertical="center"/>
    </xf>
    <xf numFmtId="2" fontId="7" fillId="3" borderId="0" xfId="0" applyNumberFormat="1" applyFont="1" applyFill="1" applyAlignment="1">
      <alignment horizontal="center" vertical="center" wrapText="1"/>
    </xf>
    <xf numFmtId="0" fontId="17" fillId="3" borderId="3" xfId="0" applyFont="1" applyFill="1" applyBorder="1" applyAlignment="1">
      <alignment horizontal="center" vertical="center"/>
    </xf>
    <xf numFmtId="44" fontId="17" fillId="3" borderId="3" xfId="1" applyFont="1" applyFill="1" applyBorder="1" applyAlignment="1">
      <alignment horizontal="center" vertical="center"/>
    </xf>
    <xf numFmtId="2" fontId="17" fillId="3" borderId="3" xfId="0" applyNumberFormat="1" applyFont="1" applyFill="1" applyBorder="1" applyAlignment="1">
      <alignment horizontal="center" vertical="center"/>
    </xf>
    <xf numFmtId="2" fontId="17" fillId="3" borderId="3" xfId="1" applyNumberFormat="1" applyFont="1" applyFill="1" applyBorder="1" applyAlignment="1">
      <alignment horizontal="center" vertical="center"/>
    </xf>
    <xf numFmtId="44" fontId="3" fillId="3" borderId="0" xfId="1" applyFont="1" applyFill="1" applyBorder="1" applyAlignment="1">
      <alignment horizontal="center" vertical="center" wrapText="1"/>
    </xf>
    <xf numFmtId="2" fontId="3" fillId="3" borderId="0" xfId="1" applyNumberFormat="1" applyFont="1" applyFill="1" applyBorder="1" applyAlignment="1">
      <alignment horizontal="center" vertical="center" wrapText="1"/>
    </xf>
    <xf numFmtId="0" fontId="17" fillId="5" borderId="3" xfId="0" applyFont="1" applyFill="1" applyBorder="1" applyAlignment="1">
      <alignment horizontal="center" vertical="center"/>
    </xf>
    <xf numFmtId="44" fontId="17" fillId="5" borderId="3" xfId="1" applyFont="1" applyFill="1" applyBorder="1" applyAlignment="1">
      <alignment horizontal="center" vertical="center"/>
    </xf>
    <xf numFmtId="2" fontId="17" fillId="5" borderId="3" xfId="0" applyNumberFormat="1" applyFont="1" applyFill="1" applyBorder="1" applyAlignment="1">
      <alignment horizontal="center" vertical="center"/>
    </xf>
    <xf numFmtId="2" fontId="17" fillId="5" borderId="3" xfId="1" applyNumberFormat="1" applyFont="1" applyFill="1" applyBorder="1" applyAlignment="1">
      <alignment horizontal="center" vertical="center"/>
    </xf>
    <xf numFmtId="0" fontId="0" fillId="0" borderId="0" xfId="0" applyAlignment="1">
      <alignment horizontal="center" wrapText="1"/>
    </xf>
    <xf numFmtId="0" fontId="2" fillId="0" borderId="0" xfId="0" applyFont="1" applyAlignment="1">
      <alignment horizontal="center" vertical="center"/>
    </xf>
    <xf numFmtId="0" fontId="5" fillId="0" borderId="0" xfId="0" applyFont="1" applyAlignment="1">
      <alignment horizontal="right" vertical="center" wrapText="1"/>
    </xf>
    <xf numFmtId="0" fontId="19" fillId="0" borderId="0" xfId="0" applyFont="1"/>
    <xf numFmtId="0" fontId="2" fillId="0" borderId="0" xfId="0" applyFont="1" applyAlignment="1">
      <alignment horizontal="centerContinuous" vertical="center"/>
    </xf>
    <xf numFmtId="0" fontId="2" fillId="0" borderId="4" xfId="0" applyFont="1" applyBorder="1" applyAlignment="1">
      <alignment horizontal="center"/>
    </xf>
    <xf numFmtId="0" fontId="2" fillId="0" borderId="1" xfId="0" applyFont="1" applyBorder="1" applyAlignment="1">
      <alignment horizontal="center"/>
    </xf>
    <xf numFmtId="0" fontId="2" fillId="0" borderId="0" xfId="0" applyFont="1" applyAlignment="1">
      <alignment horizontal="left" wrapText="1"/>
    </xf>
    <xf numFmtId="0" fontId="5" fillId="0" borderId="0" xfId="0" applyFont="1" applyAlignment="1">
      <alignment horizontal="right" wrapText="1"/>
    </xf>
    <xf numFmtId="0" fontId="20" fillId="0" borderId="0" xfId="0" applyFont="1" applyAlignment="1">
      <alignment horizontal="right" wrapText="1"/>
    </xf>
    <xf numFmtId="0" fontId="2" fillId="6" borderId="0" xfId="0" applyFont="1" applyFill="1" applyAlignment="1">
      <alignment horizontal="center" vertical="center" wrapText="1"/>
    </xf>
    <xf numFmtId="0" fontId="2" fillId="6" borderId="0" xfId="0" applyFont="1" applyFill="1" applyAlignment="1">
      <alignment horizontal="center" vertical="center"/>
    </xf>
    <xf numFmtId="0" fontId="5" fillId="6" borderId="0" xfId="0" applyFont="1" applyFill="1" applyAlignment="1">
      <alignment horizontal="right" vertical="center" wrapText="1"/>
    </xf>
    <xf numFmtId="0" fontId="0" fillId="6" borderId="0" xfId="0" applyFill="1"/>
    <xf numFmtId="0" fontId="2" fillId="6" borderId="0" xfId="0" applyFont="1" applyFill="1" applyAlignment="1">
      <alignment horizontal="left" vertical="center" wrapText="1"/>
    </xf>
    <xf numFmtId="0" fontId="2" fillId="4" borderId="0" xfId="0" applyFont="1" applyFill="1" applyAlignment="1">
      <alignment horizontal="center" vertical="center" wrapText="1"/>
    </xf>
    <xf numFmtId="0" fontId="5" fillId="4" borderId="0" xfId="0" applyFont="1" applyFill="1" applyAlignment="1">
      <alignment horizontal="right" wrapText="1"/>
    </xf>
    <xf numFmtId="0" fontId="20" fillId="4" borderId="0" xfId="0" applyFont="1" applyFill="1" applyAlignment="1">
      <alignment horizontal="right" wrapText="1"/>
    </xf>
    <xf numFmtId="0" fontId="2" fillId="4" borderId="0" xfId="0" applyFont="1" applyFill="1" applyAlignment="1">
      <alignment horizontal="center" wrapText="1"/>
    </xf>
    <xf numFmtId="0" fontId="5" fillId="4" borderId="0" xfId="0" applyFont="1" applyFill="1" applyAlignment="1">
      <alignment horizontal="right" vertical="center" wrapText="1"/>
    </xf>
    <xf numFmtId="0" fontId="2" fillId="8" borderId="0" xfId="0" applyFont="1" applyFill="1" applyAlignment="1">
      <alignment horizontal="center" vertical="center"/>
    </xf>
    <xf numFmtId="0" fontId="4" fillId="8" borderId="0" xfId="0" applyFont="1" applyFill="1" applyAlignment="1">
      <alignment horizontal="center" vertical="center"/>
    </xf>
    <xf numFmtId="0" fontId="2" fillId="9" borderId="0" xfId="0" applyFont="1" applyFill="1" applyAlignment="1">
      <alignment horizontal="center" vertical="center"/>
    </xf>
    <xf numFmtId="0" fontId="4" fillId="9" borderId="0" xfId="0" applyFont="1" applyFill="1" applyAlignment="1">
      <alignment horizontal="center" vertical="center"/>
    </xf>
    <xf numFmtId="0" fontId="22" fillId="10" borderId="0" xfId="0" applyFont="1" applyFill="1" applyAlignment="1">
      <alignment horizontal="center" vertical="center" wrapText="1"/>
    </xf>
    <xf numFmtId="0" fontId="3" fillId="11" borderId="0" xfId="0" applyFont="1" applyFill="1" applyAlignment="1">
      <alignment horizontal="center" vertical="center" wrapText="1"/>
    </xf>
    <xf numFmtId="0" fontId="3" fillId="4" borderId="0" xfId="0" applyFont="1" applyFill="1" applyAlignment="1">
      <alignment horizontal="center" vertical="center" wrapText="1"/>
    </xf>
    <xf numFmtId="0" fontId="3" fillId="12" borderId="0" xfId="0" applyFont="1" applyFill="1" applyAlignment="1">
      <alignment horizontal="center" vertical="center" wrapText="1"/>
    </xf>
    <xf numFmtId="0" fontId="3" fillId="13" borderId="0" xfId="0" applyFont="1" applyFill="1" applyAlignment="1">
      <alignment horizontal="center" vertical="center" wrapText="1"/>
    </xf>
    <xf numFmtId="0" fontId="23" fillId="6" borderId="5" xfId="0" applyFont="1" applyFill="1" applyBorder="1" applyAlignment="1">
      <alignment horizontal="center" vertical="center"/>
    </xf>
    <xf numFmtId="0" fontId="23" fillId="6" borderId="5" xfId="0" applyFont="1" applyFill="1" applyBorder="1" applyAlignment="1">
      <alignment horizontal="center" vertical="center" wrapText="1"/>
    </xf>
    <xf numFmtId="0" fontId="6" fillId="11" borderId="0" xfId="0" applyFont="1" applyFill="1" applyAlignment="1">
      <alignment horizontal="center" vertical="center" wrapText="1"/>
    </xf>
    <xf numFmtId="0" fontId="25" fillId="0" borderId="0" xfId="0" applyFont="1" applyAlignment="1">
      <alignment horizontal="right" vertical="center" wrapText="1"/>
    </xf>
    <xf numFmtId="0" fontId="7" fillId="6" borderId="0" xfId="0" applyFont="1" applyFill="1" applyAlignment="1">
      <alignment horizontal="center" vertical="center" wrapText="1"/>
    </xf>
    <xf numFmtId="0" fontId="24" fillId="3" borderId="0" xfId="0" applyFont="1" applyFill="1" applyAlignment="1">
      <alignment vertical="center" wrapText="1"/>
    </xf>
    <xf numFmtId="0" fontId="26" fillId="3" borderId="0" xfId="0" applyFont="1" applyFill="1" applyAlignment="1">
      <alignment vertical="center" wrapText="1"/>
    </xf>
    <xf numFmtId="0" fontId="7" fillId="5" borderId="0" xfId="0" applyFont="1" applyFill="1" applyAlignment="1">
      <alignment vertical="center" wrapText="1"/>
    </xf>
    <xf numFmtId="0" fontId="24" fillId="5" borderId="0" xfId="0" applyFont="1" applyFill="1" applyAlignment="1">
      <alignment vertical="center" wrapText="1"/>
    </xf>
    <xf numFmtId="0" fontId="0" fillId="0" borderId="0" xfId="0" applyAlignment="1">
      <alignment vertical="center"/>
    </xf>
    <xf numFmtId="0" fontId="3" fillId="6" borderId="0" xfId="0" applyFont="1" applyFill="1" applyAlignment="1">
      <alignment horizontal="center" vertical="center" wrapText="1"/>
    </xf>
    <xf numFmtId="0" fontId="26" fillId="6" borderId="0" xfId="0" applyFont="1" applyFill="1" applyAlignment="1">
      <alignment vertical="center" wrapText="1"/>
    </xf>
    <xf numFmtId="0" fontId="27" fillId="6" borderId="0" xfId="0" applyFont="1" applyFill="1" applyAlignment="1">
      <alignment horizontal="center" vertical="center" wrapText="1"/>
    </xf>
    <xf numFmtId="0" fontId="7" fillId="11" borderId="0" xfId="0" applyFont="1" applyFill="1" applyAlignment="1">
      <alignment horizontal="center" vertical="center" wrapText="1"/>
    </xf>
    <xf numFmtId="0" fontId="7" fillId="11" borderId="0" xfId="0" applyFont="1" applyFill="1" applyAlignment="1">
      <alignment vertical="center" wrapText="1"/>
    </xf>
    <xf numFmtId="0" fontId="24" fillId="11" borderId="0" xfId="0" applyFont="1" applyFill="1" applyAlignment="1">
      <alignment vertical="center" wrapText="1"/>
    </xf>
    <xf numFmtId="0" fontId="8" fillId="6" borderId="0" xfId="0" applyFont="1" applyFill="1" applyAlignment="1">
      <alignment horizontal="center" vertical="center" wrapText="1"/>
    </xf>
    <xf numFmtId="0" fontId="0" fillId="6" borderId="1" xfId="0" applyFill="1" applyBorder="1" applyAlignment="1">
      <alignment horizontal="center" vertical="center" wrapText="1"/>
    </xf>
    <xf numFmtId="0" fontId="24" fillId="6" borderId="0" xfId="0" applyFont="1" applyFill="1" applyAlignment="1">
      <alignment vertical="center" wrapText="1"/>
    </xf>
    <xf numFmtId="0" fontId="24" fillId="11" borderId="0" xfId="0" applyFont="1" applyFill="1" applyAlignment="1">
      <alignment vertical="top" wrapText="1"/>
    </xf>
    <xf numFmtId="0" fontId="24" fillId="5" borderId="0" xfId="0" applyFont="1" applyFill="1" applyAlignment="1">
      <alignment horizontal="left" vertical="center" wrapText="1"/>
    </xf>
    <xf numFmtId="0" fontId="13" fillId="6" borderId="0" xfId="0" applyFont="1" applyFill="1" applyAlignment="1">
      <alignment horizontal="center" vertical="center" wrapText="1"/>
    </xf>
    <xf numFmtId="0" fontId="7" fillId="0" borderId="0" xfId="0" applyFont="1" applyAlignment="1">
      <alignment horizontal="center" vertical="center"/>
    </xf>
    <xf numFmtId="0" fontId="7" fillId="6" borderId="0" xfId="0" applyFont="1" applyFill="1" applyAlignment="1">
      <alignment horizontal="center" vertical="center"/>
    </xf>
    <xf numFmtId="0" fontId="7" fillId="6" borderId="0" xfId="0" applyFont="1" applyFill="1" applyAlignment="1">
      <alignment vertical="center"/>
    </xf>
    <xf numFmtId="9" fontId="7" fillId="6" borderId="0" xfId="0" applyNumberFormat="1" applyFont="1" applyFill="1" applyAlignment="1">
      <alignment horizontal="center" vertical="center"/>
    </xf>
    <xf numFmtId="0" fontId="7" fillId="6" borderId="0" xfId="0" applyFont="1" applyFill="1" applyAlignment="1">
      <alignment vertical="center" wrapText="1"/>
    </xf>
    <xf numFmtId="164" fontId="7" fillId="6" borderId="0" xfId="0" applyNumberFormat="1" applyFont="1" applyFill="1" applyAlignment="1">
      <alignment horizontal="center" vertical="center"/>
    </xf>
    <xf numFmtId="0" fontId="7" fillId="3" borderId="0" xfId="0" applyFont="1" applyFill="1" applyAlignment="1">
      <alignment vertical="center"/>
    </xf>
    <xf numFmtId="0" fontId="7" fillId="3" borderId="0" xfId="0" applyFont="1" applyFill="1" applyAlignment="1">
      <alignment horizontal="center" vertical="center"/>
    </xf>
    <xf numFmtId="9" fontId="7" fillId="3" borderId="0" xfId="0" applyNumberFormat="1" applyFont="1" applyFill="1" applyAlignment="1">
      <alignment horizontal="center" vertical="center"/>
    </xf>
    <xf numFmtId="0" fontId="7" fillId="3" borderId="0" xfId="0" applyFont="1" applyFill="1" applyAlignment="1">
      <alignment vertical="center" wrapText="1"/>
    </xf>
    <xf numFmtId="164" fontId="7" fillId="3" borderId="0" xfId="0" applyNumberFormat="1" applyFont="1" applyFill="1" applyAlignment="1">
      <alignment horizontal="center" vertical="center"/>
    </xf>
    <xf numFmtId="9" fontId="7" fillId="3" borderId="0" xfId="2" applyFont="1" applyFill="1" applyAlignment="1">
      <alignment horizontal="center" vertical="center"/>
    </xf>
    <xf numFmtId="0" fontId="2" fillId="14" borderId="2" xfId="0" applyFont="1" applyFill="1" applyBorder="1" applyAlignment="1">
      <alignment horizontal="center"/>
    </xf>
    <xf numFmtId="0" fontId="2" fillId="14" borderId="2" xfId="0" applyFont="1" applyFill="1" applyBorder="1" applyAlignment="1">
      <alignment horizontal="center" vertical="center"/>
    </xf>
    <xf numFmtId="2" fontId="2" fillId="14" borderId="2" xfId="1" applyNumberFormat="1" applyFont="1" applyFill="1" applyBorder="1" applyAlignment="1">
      <alignment horizontal="center" vertical="center"/>
    </xf>
    <xf numFmtId="0" fontId="2" fillId="14" borderId="2" xfId="1" applyNumberFormat="1" applyFont="1" applyFill="1" applyBorder="1" applyAlignment="1">
      <alignment horizontal="center" vertical="center"/>
    </xf>
    <xf numFmtId="0" fontId="4" fillId="8" borderId="0" xfId="0" applyFont="1" applyFill="1" applyAlignment="1">
      <alignment horizontal="centerContinuous" vertical="center"/>
    </xf>
    <xf numFmtId="0" fontId="2" fillId="0" borderId="0" xfId="0" applyFont="1" applyAlignment="1">
      <alignment vertical="center"/>
    </xf>
    <xf numFmtId="0" fontId="4" fillId="2" borderId="0" xfId="0" applyFont="1" applyFill="1" applyAlignment="1">
      <alignment horizontal="centerContinuous" vertical="center"/>
    </xf>
    <xf numFmtId="0" fontId="4" fillId="7" borderId="0" xfId="0" applyFont="1" applyFill="1" applyAlignment="1">
      <alignment horizontal="centerContinuous" vertical="center"/>
    </xf>
    <xf numFmtId="0" fontId="4" fillId="9" borderId="0" xfId="0" applyFont="1" applyFill="1" applyAlignment="1">
      <alignment horizontal="centerContinuous" vertical="center"/>
    </xf>
    <xf numFmtId="1" fontId="7" fillId="6" borderId="0" xfId="0" applyNumberFormat="1" applyFont="1" applyFill="1" applyAlignment="1">
      <alignment horizontal="center" vertical="center"/>
    </xf>
    <xf numFmtId="1" fontId="7" fillId="3" borderId="0" xfId="0" applyNumberFormat="1" applyFont="1" applyFill="1" applyAlignment="1">
      <alignment horizontal="center" vertical="center"/>
    </xf>
    <xf numFmtId="0" fontId="7" fillId="0" borderId="0" xfId="0" applyFont="1" applyAlignment="1">
      <alignment vertical="center"/>
    </xf>
    <xf numFmtId="9" fontId="7" fillId="0" borderId="0" xfId="0" applyNumberFormat="1" applyFont="1" applyAlignment="1">
      <alignment horizontal="center" vertical="center"/>
    </xf>
    <xf numFmtId="0" fontId="0" fillId="0" borderId="0" xfId="0" applyAlignment="1">
      <alignment horizontal="left" vertical="center"/>
    </xf>
    <xf numFmtId="9" fontId="4" fillId="8" borderId="0" xfId="2" applyFont="1" applyFill="1" applyAlignment="1">
      <alignment horizontal="center" vertical="center"/>
    </xf>
    <xf numFmtId="9" fontId="4" fillId="9" borderId="0" xfId="2" applyFont="1" applyFill="1" applyAlignment="1">
      <alignment horizontal="center" vertical="center"/>
    </xf>
    <xf numFmtId="9" fontId="2" fillId="14" borderId="2" xfId="2" applyFont="1" applyFill="1" applyBorder="1" applyAlignment="1">
      <alignment horizontal="center" vertical="center"/>
    </xf>
    <xf numFmtId="0" fontId="22" fillId="2" borderId="0" xfId="0" applyFont="1" applyFill="1" applyAlignment="1">
      <alignment horizontal="centerContinuous" vertical="center"/>
    </xf>
    <xf numFmtId="2" fontId="22" fillId="2" borderId="0" xfId="0" applyNumberFormat="1" applyFont="1" applyFill="1" applyAlignment="1">
      <alignment horizontal="center" vertical="center"/>
    </xf>
    <xf numFmtId="9" fontId="22" fillId="2" borderId="0" xfId="2" applyFont="1" applyFill="1" applyAlignment="1">
      <alignment horizontal="center" vertical="center"/>
    </xf>
    <xf numFmtId="0" fontId="22" fillId="2" borderId="0" xfId="0" applyFont="1" applyFill="1" applyAlignment="1">
      <alignment horizontal="center" vertical="center"/>
    </xf>
    <xf numFmtId="0" fontId="33" fillId="7" borderId="0" xfId="0" applyFont="1" applyFill="1" applyAlignment="1">
      <alignment horizontal="centerContinuous" vertical="center"/>
    </xf>
    <xf numFmtId="0" fontId="33" fillId="7" borderId="0" xfId="0" applyFont="1" applyFill="1" applyAlignment="1">
      <alignment horizontal="center" vertical="center"/>
    </xf>
    <xf numFmtId="9" fontId="33" fillId="7" borderId="0" xfId="2" applyFont="1" applyFill="1" applyAlignment="1">
      <alignment horizontal="center" vertical="center"/>
    </xf>
    <xf numFmtId="0" fontId="2" fillId="3" borderId="0" xfId="0" applyFont="1" applyFill="1" applyAlignment="1">
      <alignment vertical="center"/>
    </xf>
    <xf numFmtId="0" fontId="0" fillId="3" borderId="0" xfId="0" applyFill="1" applyAlignment="1">
      <alignment vertical="center"/>
    </xf>
    <xf numFmtId="0" fontId="0" fillId="3" borderId="0" xfId="0" applyFill="1"/>
    <xf numFmtId="43" fontId="17" fillId="5" borderId="3" xfId="3" applyFont="1" applyFill="1" applyBorder="1" applyAlignment="1">
      <alignment horizontal="center" vertical="center"/>
    </xf>
    <xf numFmtId="43" fontId="17" fillId="3" borderId="3" xfId="3" applyFont="1" applyFill="1" applyBorder="1" applyAlignment="1">
      <alignment horizontal="center" vertical="center"/>
    </xf>
    <xf numFmtId="43" fontId="3" fillId="3" borderId="0" xfId="3" applyFont="1" applyFill="1" applyAlignment="1">
      <alignment horizontal="center" vertical="center" wrapText="1"/>
    </xf>
    <xf numFmtId="43" fontId="7" fillId="3" borderId="0" xfId="3" applyFont="1" applyFill="1" applyAlignment="1">
      <alignment horizontal="center" vertical="center" wrapText="1"/>
    </xf>
    <xf numFmtId="43" fontId="15" fillId="3" borderId="3" xfId="3" applyFont="1" applyFill="1" applyBorder="1" applyAlignment="1">
      <alignment horizontal="center" vertical="center"/>
    </xf>
    <xf numFmtId="165" fontId="7" fillId="3" borderId="0" xfId="3" applyNumberFormat="1" applyFont="1" applyFill="1" applyAlignment="1">
      <alignment horizontal="center" vertical="center" wrapText="1"/>
    </xf>
    <xf numFmtId="165" fontId="8" fillId="3" borderId="0" xfId="3" applyNumberFormat="1" applyFont="1" applyFill="1" applyAlignment="1">
      <alignment horizontal="center" vertical="center" wrapText="1"/>
    </xf>
    <xf numFmtId="165" fontId="17" fillId="5" borderId="3" xfId="3" applyNumberFormat="1" applyFont="1" applyFill="1" applyBorder="1" applyAlignment="1">
      <alignment horizontal="center" vertical="center"/>
    </xf>
    <xf numFmtId="165" fontId="17" fillId="3" borderId="3" xfId="3" applyNumberFormat="1" applyFont="1" applyFill="1" applyBorder="1" applyAlignment="1">
      <alignment horizontal="center" vertical="center"/>
    </xf>
    <xf numFmtId="0" fontId="18" fillId="15" borderId="3" xfId="0" applyFont="1" applyFill="1" applyBorder="1" applyAlignment="1">
      <alignment horizontal="center" vertical="center"/>
    </xf>
    <xf numFmtId="44" fontId="18" fillId="15" borderId="3" xfId="1" applyFont="1" applyFill="1" applyBorder="1" applyAlignment="1">
      <alignment horizontal="center" vertical="center"/>
    </xf>
    <xf numFmtId="165" fontId="18" fillId="15" borderId="3" xfId="3" applyNumberFormat="1" applyFont="1" applyFill="1" applyBorder="1" applyAlignment="1">
      <alignment horizontal="center" vertical="center"/>
    </xf>
    <xf numFmtId="2" fontId="18" fillId="15" borderId="3" xfId="0" applyNumberFormat="1" applyFont="1" applyFill="1" applyBorder="1" applyAlignment="1">
      <alignment horizontal="center" vertical="center"/>
    </xf>
    <xf numFmtId="2" fontId="18" fillId="15" borderId="3" xfId="1" applyNumberFormat="1" applyFont="1" applyFill="1" applyBorder="1" applyAlignment="1">
      <alignment horizontal="center" vertical="center"/>
    </xf>
    <xf numFmtId="0" fontId="0" fillId="15" borderId="0" xfId="0" applyFill="1" applyAlignment="1">
      <alignment horizontal="center" vertical="center" wrapText="1"/>
    </xf>
    <xf numFmtId="0" fontId="0" fillId="0" borderId="0" xfId="0" applyAlignment="1">
      <alignment horizontal="right"/>
    </xf>
    <xf numFmtId="0" fontId="15" fillId="3" borderId="3" xfId="0" applyFont="1" applyFill="1" applyBorder="1" applyAlignment="1">
      <alignment horizontal="center" vertical="center" wrapText="1"/>
    </xf>
    <xf numFmtId="44" fontId="15" fillId="3" borderId="3" xfId="1" applyFont="1" applyFill="1" applyBorder="1" applyAlignment="1">
      <alignment horizontal="center" vertical="center" wrapText="1"/>
    </xf>
    <xf numFmtId="165" fontId="0" fillId="0" borderId="0" xfId="3" applyNumberFormat="1" applyFont="1"/>
    <xf numFmtId="165" fontId="0" fillId="0" borderId="0" xfId="0" applyNumberFormat="1"/>
    <xf numFmtId="0" fontId="35" fillId="0" borderId="0" xfId="0" applyFont="1"/>
    <xf numFmtId="2" fontId="4" fillId="8" borderId="0" xfId="0" applyNumberFormat="1" applyFont="1" applyFill="1" applyAlignment="1">
      <alignment horizontal="center" vertical="center"/>
    </xf>
    <xf numFmtId="1" fontId="36" fillId="3" borderId="0" xfId="0" applyNumberFormat="1" applyFont="1" applyFill="1" applyAlignment="1">
      <alignment horizontal="center" vertical="center"/>
    </xf>
    <xf numFmtId="0" fontId="0" fillId="11" borderId="0" xfId="0" applyFill="1" applyAlignment="1">
      <alignment horizontal="center" vertical="center" wrapText="1"/>
    </xf>
    <xf numFmtId="0" fontId="37" fillId="3" borderId="0" xfId="0" applyFont="1" applyFill="1" applyAlignment="1">
      <alignment horizontal="center" vertical="center" wrapText="1"/>
    </xf>
    <xf numFmtId="1" fontId="7" fillId="3" borderId="0" xfId="0" applyNumberFormat="1" applyFont="1" applyFill="1" applyAlignment="1">
      <alignment horizontal="center" vertical="center" wrapText="1"/>
    </xf>
    <xf numFmtId="0" fontId="0" fillId="3" borderId="0" xfId="0" applyFill="1" applyAlignment="1">
      <alignment horizontal="center" vertical="center"/>
    </xf>
    <xf numFmtId="0" fontId="11" fillId="3" borderId="0" xfId="0" applyFont="1" applyFill="1" applyAlignment="1">
      <alignment horizontal="center" vertical="center" wrapText="1"/>
    </xf>
    <xf numFmtId="0" fontId="7" fillId="0" borderId="0" xfId="0" applyFont="1" applyAlignment="1">
      <alignment horizontal="center" vertical="center" wrapText="1"/>
    </xf>
    <xf numFmtId="43" fontId="5" fillId="3" borderId="0" xfId="0" applyNumberFormat="1" applyFont="1" applyFill="1" applyAlignment="1">
      <alignment wrapText="1"/>
    </xf>
    <xf numFmtId="43" fontId="5" fillId="3" borderId="0" xfId="0" applyNumberFormat="1" applyFont="1" applyFill="1" applyAlignment="1">
      <alignment horizontal="center" vertical="center"/>
    </xf>
    <xf numFmtId="43" fontId="3" fillId="3" borderId="0" xfId="3" applyFont="1" applyFill="1" applyAlignment="1">
      <alignment horizontal="right" vertical="center" wrapText="1"/>
    </xf>
    <xf numFmtId="44" fontId="3" fillId="3" borderId="0" xfId="1" applyFont="1" applyFill="1" applyAlignment="1">
      <alignment horizontal="center" vertical="center" wrapText="1"/>
    </xf>
    <xf numFmtId="2" fontId="3" fillId="3" borderId="0" xfId="1" applyNumberFormat="1" applyFont="1" applyFill="1" applyAlignment="1">
      <alignment horizontal="center" vertical="center" wrapText="1"/>
    </xf>
    <xf numFmtId="0" fontId="3" fillId="3" borderId="0" xfId="1" applyNumberFormat="1" applyFont="1" applyFill="1" applyAlignment="1">
      <alignment horizontal="center" vertical="center" wrapText="1"/>
    </xf>
    <xf numFmtId="0" fontId="39" fillId="3" borderId="0" xfId="0" applyFont="1" applyFill="1"/>
    <xf numFmtId="1" fontId="2" fillId="4" borderId="0" xfId="0" applyNumberFormat="1" applyFont="1" applyFill="1" applyAlignment="1">
      <alignment horizontal="right" vertical="center"/>
    </xf>
    <xf numFmtId="1" fontId="2" fillId="0" borderId="0" xfId="0" applyNumberFormat="1" applyFont="1" applyAlignment="1">
      <alignment horizontal="right" vertical="center"/>
    </xf>
    <xf numFmtId="1" fontId="2" fillId="0" borderId="0" xfId="0" applyNumberFormat="1" applyFont="1" applyAlignment="1">
      <alignment horizontal="right"/>
    </xf>
    <xf numFmtId="1" fontId="2" fillId="4" borderId="0" xfId="0" applyNumberFormat="1" applyFont="1" applyFill="1" applyAlignment="1">
      <alignment horizontal="right"/>
    </xf>
    <xf numFmtId="1" fontId="0" fillId="0" borderId="0" xfId="0" applyNumberFormat="1" applyAlignment="1">
      <alignment horizontal="right"/>
    </xf>
    <xf numFmtId="1" fontId="0" fillId="4" borderId="0" xfId="0" applyNumberFormat="1" applyFill="1" applyAlignment="1">
      <alignment horizontal="right"/>
    </xf>
    <xf numFmtId="0" fontId="36" fillId="3" borderId="0" xfId="0" applyFont="1" applyFill="1" applyAlignment="1">
      <alignment horizontal="center" vertical="center" wrapText="1"/>
    </xf>
    <xf numFmtId="43" fontId="14" fillId="3" borderId="0" xfId="3" applyFont="1" applyFill="1" applyAlignment="1">
      <alignment horizontal="center" vertical="center"/>
    </xf>
    <xf numFmtId="165" fontId="40" fillId="5" borderId="3" xfId="3" applyNumberFormat="1" applyFont="1" applyFill="1" applyBorder="1" applyAlignment="1">
      <alignment horizontal="center" vertical="center"/>
    </xf>
    <xf numFmtId="43" fontId="40" fillId="3" borderId="3" xfId="3" applyFont="1" applyFill="1" applyBorder="1" applyAlignment="1">
      <alignment horizontal="center" vertical="center"/>
    </xf>
    <xf numFmtId="43" fontId="40" fillId="5" borderId="3" xfId="3" applyFont="1" applyFill="1" applyBorder="1" applyAlignment="1">
      <alignment horizontal="center" vertical="center"/>
    </xf>
    <xf numFmtId="165" fontId="42" fillId="15" borderId="3" xfId="3" applyNumberFormat="1" applyFont="1" applyFill="1" applyBorder="1" applyAlignment="1">
      <alignment horizontal="center" vertical="center"/>
    </xf>
    <xf numFmtId="43" fontId="0" fillId="3" borderId="0" xfId="0" applyNumberFormat="1" applyFill="1" applyAlignment="1">
      <alignment vertical="center" wrapText="1"/>
    </xf>
    <xf numFmtId="43" fontId="0" fillId="3" borderId="0" xfId="0" applyNumberFormat="1" applyFill="1" applyAlignment="1">
      <alignment wrapText="1"/>
    </xf>
    <xf numFmtId="43" fontId="0" fillId="3" borderId="0" xfId="0" applyNumberFormat="1" applyFill="1" applyAlignment="1">
      <alignment vertical="center"/>
    </xf>
    <xf numFmtId="0" fontId="40" fillId="3" borderId="3" xfId="0" applyFont="1" applyFill="1" applyBorder="1" applyAlignment="1">
      <alignment horizontal="center" vertical="center"/>
    </xf>
    <xf numFmtId="43" fontId="0" fillId="3" borderId="0" xfId="0" applyNumberFormat="1" applyFill="1"/>
    <xf numFmtId="0" fontId="41" fillId="3" borderId="3" xfId="0" applyFont="1" applyFill="1" applyBorder="1" applyAlignment="1">
      <alignment horizontal="center" vertical="center"/>
    </xf>
    <xf numFmtId="43" fontId="0" fillId="3" borderId="0" xfId="0" applyNumberFormat="1" applyFill="1" applyAlignment="1">
      <alignment horizontal="center" vertical="center"/>
    </xf>
    <xf numFmtId="165" fontId="14" fillId="3" borderId="0" xfId="3" applyNumberFormat="1" applyFont="1" applyFill="1" applyAlignment="1">
      <alignment horizontal="center" vertical="center"/>
    </xf>
    <xf numFmtId="43" fontId="14" fillId="3" borderId="0" xfId="3" applyFont="1" applyFill="1" applyAlignment="1">
      <alignment horizontal="right" vertical="center"/>
    </xf>
    <xf numFmtId="43" fontId="0" fillId="3" borderId="0" xfId="0" applyNumberFormat="1" applyFill="1" applyAlignment="1">
      <alignment horizontal="right" vertical="center" wrapText="1"/>
    </xf>
    <xf numFmtId="43" fontId="5" fillId="3" borderId="0" xfId="3" applyFont="1" applyFill="1" applyAlignment="1">
      <alignment horizontal="center" vertical="center"/>
    </xf>
    <xf numFmtId="0" fontId="43" fillId="3" borderId="0" xfId="0" applyFont="1" applyFill="1" applyAlignment="1">
      <alignment horizontal="center" vertical="center" wrapText="1"/>
    </xf>
    <xf numFmtId="0" fontId="44" fillId="3" borderId="0" xfId="0" applyFont="1" applyFill="1" applyAlignment="1">
      <alignment horizontal="center" vertical="center" wrapText="1"/>
    </xf>
    <xf numFmtId="0" fontId="45" fillId="3" borderId="3" xfId="0" applyFont="1" applyFill="1" applyBorder="1" applyAlignment="1">
      <alignment horizontal="center" vertical="center"/>
    </xf>
    <xf numFmtId="0" fontId="47" fillId="3" borderId="0" xfId="0" applyFont="1" applyFill="1" applyAlignment="1">
      <alignment horizontal="center" vertical="center" wrapText="1"/>
    </xf>
    <xf numFmtId="0" fontId="7" fillId="15" borderId="0" xfId="0" applyFont="1" applyFill="1" applyAlignment="1">
      <alignment horizontal="center" vertical="center" wrapText="1"/>
    </xf>
    <xf numFmtId="0" fontId="47" fillId="0" borderId="0" xfId="0" applyFont="1" applyAlignment="1">
      <alignment horizontal="center" vertical="center" wrapText="1"/>
    </xf>
    <xf numFmtId="0" fontId="7" fillId="0" borderId="0" xfId="0" applyFont="1" applyAlignment="1">
      <alignment vertical="center" wrapText="1"/>
    </xf>
    <xf numFmtId="0" fontId="6" fillId="10" borderId="0" xfId="0" applyFont="1" applyFill="1" applyAlignment="1">
      <alignment horizontal="center" vertical="center" wrapText="1"/>
    </xf>
    <xf numFmtId="0" fontId="36" fillId="15" borderId="0" xfId="0" applyFont="1" applyFill="1" applyAlignment="1">
      <alignment horizontal="center" vertical="center" wrapText="1"/>
    </xf>
    <xf numFmtId="165" fontId="3" fillId="3" borderId="0" xfId="3" applyNumberFormat="1" applyFont="1" applyFill="1" applyAlignment="1">
      <alignment horizontal="center" vertical="center" wrapText="1"/>
    </xf>
    <xf numFmtId="0" fontId="7" fillId="0" borderId="0" xfId="0" applyFont="1"/>
    <xf numFmtId="165" fontId="7" fillId="0" borderId="0" xfId="3" applyNumberFormat="1" applyFont="1"/>
    <xf numFmtId="165" fontId="7" fillId="0" borderId="0" xfId="0" applyNumberFormat="1" applyFont="1"/>
    <xf numFmtId="0" fontId="7" fillId="3" borderId="0" xfId="0" applyFont="1" applyFill="1" applyAlignment="1">
      <alignment horizontal="right" vertical="center" wrapText="1"/>
    </xf>
    <xf numFmtId="0" fontId="7" fillId="3" borderId="0" xfId="0" applyFont="1" applyFill="1" applyAlignment="1">
      <alignment wrapText="1"/>
    </xf>
    <xf numFmtId="0" fontId="8" fillId="3" borderId="0" xfId="0" applyFont="1" applyFill="1" applyAlignment="1">
      <alignment wrapText="1"/>
    </xf>
    <xf numFmtId="43" fontId="38" fillId="3" borderId="0" xfId="3" applyFont="1" applyFill="1" applyAlignment="1">
      <alignment horizontal="center" vertical="center"/>
    </xf>
    <xf numFmtId="43" fontId="38" fillId="3" borderId="3" xfId="3" applyFont="1" applyFill="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xf>
    <xf numFmtId="0" fontId="3" fillId="0" borderId="0" xfId="0" applyFont="1" applyAlignment="1">
      <alignment horizontal="center" vertical="center" wrapText="1"/>
    </xf>
    <xf numFmtId="0" fontId="0" fillId="0" borderId="0" xfId="0" applyAlignment="1">
      <alignment horizontal="left" vertical="center" wrapText="1"/>
    </xf>
  </cellXfs>
  <cellStyles count="4">
    <cellStyle name="Milliers" xfId="3" builtinId="3"/>
    <cellStyle name="Monétaire" xfId="1" builtinId="4"/>
    <cellStyle name="Normal" xfId="0" builtinId="0"/>
    <cellStyle name="Pourcentage" xfId="2" builtinId="5"/>
  </cellStyles>
  <dxfs count="67">
    <dxf>
      <alignment horizontal="center" textRotation="0" indent="0" justifyLastLine="0" shrinkToFit="0" readingOrder="0"/>
    </dxf>
    <dxf>
      <alignment horizontal="center" vertical="center" textRotation="0" indent="0" justifyLastLine="0" shrinkToFit="0" readingOrder="0"/>
    </dxf>
    <dxf>
      <alignment horizontal="center" vertical="center" textRotation="0" indent="0" justifyLastLine="0" shrinkToFit="0" readingOrder="0"/>
    </dxf>
    <dxf>
      <fill>
        <patternFill patternType="solid">
          <fgColor indexed="64"/>
          <bgColor theme="3" tint="0.89999084444715716"/>
        </patternFill>
      </fill>
      <alignment horizontal="center" vertical="center" textRotation="0" wrapText="1" indent="0" justifyLastLine="0" shrinkToFit="0" readingOrder="0"/>
    </dxf>
    <dxf>
      <numFmt numFmtId="1" formatCode="0"/>
      <alignment horizontal="right"/>
    </dxf>
    <dxf>
      <numFmt numFmtId="1" formatCode="0"/>
      <alignment horizontal="right"/>
    </dxf>
    <dxf>
      <numFmt numFmtId="1" formatCode="0"/>
      <alignment horizontal="right"/>
    </dxf>
    <dxf>
      <numFmt numFmtId="1" formatCode="0"/>
      <alignment horizontal="right"/>
    </dxf>
    <dxf>
      <numFmt numFmtId="1" formatCode="0"/>
      <alignment horizontal="right"/>
    </dxf>
    <dxf>
      <numFmt numFmtId="1" formatCode="0"/>
      <alignment horizontal="right"/>
    </dxf>
    <dxf>
      <numFmt numFmtId="1" formatCode="0"/>
      <alignment horizontal="right"/>
    </dxf>
    <dxf>
      <numFmt numFmtId="1" formatCode="0"/>
      <alignment horizontal="right"/>
    </dxf>
    <dxf>
      <numFmt numFmtId="1" formatCode="0"/>
      <alignment horizontal="right"/>
    </dxf>
    <dxf>
      <font>
        <b val="0"/>
        <i/>
        <strike val="0"/>
        <condense val="0"/>
        <extend val="0"/>
        <outline val="0"/>
        <shadow val="0"/>
        <u val="none"/>
        <vertAlign val="baseline"/>
        <sz val="10"/>
        <color theme="1"/>
        <name val="Arial"/>
        <scheme val="none"/>
      </font>
      <alignment horizontal="right" vertical="bottom" textRotation="0" wrapText="1" indent="0" justifyLastLine="0" shrinkToFit="0" readingOrder="0"/>
    </dxf>
    <dxf>
      <font>
        <b val="0"/>
        <i/>
        <strike val="0"/>
        <condense val="0"/>
        <extend val="0"/>
        <outline val="0"/>
        <shadow val="0"/>
        <u val="none"/>
        <vertAlign val="baseline"/>
        <sz val="10"/>
        <color theme="1"/>
        <name val="Arial"/>
        <scheme val="none"/>
      </font>
      <alignment horizontal="right" vertical="bottom" textRotation="0" wrapText="1"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border diagonalUp="0" diagonalDown="0" outline="0">
        <left style="thin">
          <color theme="6"/>
        </left>
        <right style="thin">
          <color theme="6"/>
        </right>
        <top/>
        <bottom/>
      </border>
    </dxf>
    <dxf>
      <numFmt numFmtId="0" formatCode="General"/>
    </dxf>
    <dxf>
      <font>
        <b val="0"/>
        <i/>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Aptos Narrow"/>
        <family val="2"/>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numFmt numFmtId="0" formatCode="General"/>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numFmt numFmtId="0" formatCode="General"/>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numFmt numFmtId="0" formatCode="General"/>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patternType="solid">
          <fgColor indexed="64"/>
          <bgColor theme="0"/>
        </patternFill>
      </fill>
      <alignment horizontal="center" vertical="center" textRotation="0" wrapText="1" indent="0" justifyLastLine="0" shrinkToFit="0" readingOrder="0"/>
    </dxf>
    <dxf>
      <font>
        <i/>
        <strike val="0"/>
        <outline val="0"/>
        <shadow val="0"/>
        <u val="none"/>
        <vertAlign val="baseline"/>
        <color auto="1"/>
        <name val="Arial"/>
        <family val="2"/>
        <scheme val="none"/>
      </font>
      <numFmt numFmtId="165" formatCode="_-* #,##0_-;\-* #,##0_-;_-* &quot;-&quot;??_-;_-@_-"/>
      <fill>
        <patternFill patternType="solid">
          <fgColor indexed="64"/>
          <bgColor theme="0"/>
        </patternFill>
      </fill>
      <alignment horizontal="center"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dxf>
    <dxf>
      <alignment horizontal="center" vertical="center" textRotation="0" wrapText="1" indent="0" justifyLastLine="0" shrinkToFit="0" readingOrder="0"/>
    </dxf>
    <dxf>
      <font>
        <strike val="0"/>
        <outline val="0"/>
        <shadow val="0"/>
        <u val="none"/>
        <vertAlign val="baseline"/>
        <color auto="1"/>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patternType="none">
          <fgColor indexed="64"/>
          <bgColor theme="0"/>
        </patternFill>
      </fill>
      <alignment horizontal="center" vertical="center" textRotation="0" wrapText="1" indent="0" justifyLastLine="0" shrinkToFit="0" readingOrder="0"/>
    </dxf>
    <dxf>
      <font>
        <strike val="0"/>
        <outline val="0"/>
        <shadow val="0"/>
        <u val="none"/>
        <vertAlign val="baseline"/>
        <color auto="1"/>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patternType="none">
          <fgColor indexed="64"/>
          <bgColor theme="0"/>
        </patternFill>
      </fill>
      <alignment horizontal="center" vertical="center" textRotation="0" wrapText="1" indent="0" justifyLastLine="0" shrinkToFit="0" readingOrder="0"/>
    </dxf>
    <dxf>
      <font>
        <strike val="0"/>
        <outline val="0"/>
        <shadow val="0"/>
        <u val="none"/>
        <vertAlign val="baseline"/>
        <color auto="1"/>
      </font>
      <fill>
        <patternFill patternType="solid">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fgColor indexed="64"/>
          <bgColor theme="0"/>
        </patternFill>
      </fill>
      <alignment horizontal="center" vertical="center" textRotation="0" wrapText="1" indent="0" justifyLastLine="0" shrinkToFit="0" readingOrder="0"/>
    </dxf>
    <dxf>
      <alignment horizontal="center" vertical="center" textRotation="0" wrapText="1" indent="0" justifyLastLine="0" shrinkToFit="0" readingOrder="0"/>
    </dxf>
    <dxf>
      <font>
        <strike val="0"/>
        <outline val="0"/>
        <shadow val="0"/>
        <u val="none"/>
        <vertAlign val="baseline"/>
        <color auto="1"/>
      </font>
      <fill>
        <patternFill>
          <fgColor indexed="64"/>
          <bgColor theme="0"/>
        </patternFill>
      </fill>
      <alignment horizontal="center" vertical="center" textRotation="0" wrapText="1" indent="0" justifyLastLine="0" shrinkToFit="0" readingOrder="0"/>
    </dxf>
    <dxf>
      <font>
        <strike val="0"/>
        <outline val="0"/>
        <shadow val="0"/>
        <u val="none"/>
        <vertAlign val="baseline"/>
        <color auto="1"/>
      </font>
      <fill>
        <patternFill>
          <fgColor indexed="64"/>
          <bgColor theme="0"/>
        </patternFill>
      </fill>
      <alignment horizontal="center" vertical="center" textRotation="0" wrapText="1" indent="0" justifyLastLine="0" shrinkToFit="0" readingOrder="0"/>
    </dxf>
    <dxf>
      <font>
        <strike val="0"/>
        <outline val="0"/>
        <shadow val="0"/>
        <u val="none"/>
        <vertAlign val="baseline"/>
        <sz val="9"/>
        <name val="Arial"/>
        <family val="2"/>
        <scheme val="none"/>
      </font>
      <alignment horizontal="center" vertical="center" textRotation="0" wrapText="1" indent="0" justifyLastLine="0" shrinkToFit="0" readingOrder="0"/>
    </dxf>
  </dxfs>
  <tableStyles count="0" defaultTableStyle="TableStyleMedium2" defaultPivotStyle="PivotStyleLight16"/>
  <colors>
    <mruColors>
      <color rgb="FFFD574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29F44F4-B312-42AC-859C-35B5AA3EE99E}" name="Tableau1" displayName="Tableau1" ref="B4:U134" headerRowDxfId="66" dataDxfId="65">
  <autoFilter ref="B4:U134" xr:uid="{E29F44F4-B312-42AC-859C-35B5AA3EE99E}"/>
  <tableColumns count="20">
    <tableColumn id="1" xr3:uid="{B1C6658D-D141-4AD9-A4AA-FB7606CBAF07}" name="IDENTIFIANT CHORUS RE-FX BÂTIMENT / TERRAIN NON BÂTI" totalsRowLabel="Total" dataDxfId="64" totalsRowDxfId="63"/>
    <tableColumn id="2" xr3:uid="{D8915098-0EA5-4555-8011-1F8F2709BFFA}" name="LIBELLE BÂTIMENT / TERRAIN NON BÂTI" dataDxfId="62" totalsRowDxfId="61"/>
    <tableColumn id="19" xr3:uid="{9DF8F349-6974-43EB-8A2D-5482BD6DE141}" name="DESTINATION" dataDxfId="60" totalsRowDxfId="59"/>
    <tableColumn id="21" xr3:uid="{F10E0EB2-A2CA-4D9C-941E-B0AA58D190F5}" name="UTILISATION PRINCIPALE BÂTIMENT / TERRAIN NON BÂTI" dataDxfId="58"/>
    <tableColumn id="3" xr3:uid="{2201237E-C4D6-459C-A561-C61B41D4F88C}" name="STATUT D'OCCUPATION (type de contrat d'occupation)" dataDxfId="57" totalsRowDxfId="56"/>
    <tableColumn id="16" xr3:uid="{319B65B3-CDD3-4F78-8F65-066F06B0CE1F}" name="PROPRIETAIRE" dataDxfId="55" totalsRowDxfId="54"/>
    <tableColumn id="18" xr3:uid="{8231DB79-8C7D-4433-BD6F-35C326F62ED3}" name="ADRESSE COMPLETE_x000a_(n° et nom de la rue)" dataDxfId="53"/>
    <tableColumn id="5" xr3:uid="{66B42EC3-794E-4497-B04F-743E86C0523E}" name="VILLE_x000a_(avec le code postal)" dataDxfId="52" totalsRowDxfId="51"/>
    <tableColumn id="6" xr3:uid="{777185C4-97D1-41FF-AE40-ACD9FFF9F79C}" name="MULTI-OCCUPATION (avec d'autres services de l'Etat ou EPN)" dataDxfId="50" totalsRowDxfId="49"/>
    <tableColumn id="17" xr3:uid="{C3F91E14-375D-5643-9C2C-679BE61EFBC3}" name="SPL (SDP)" dataDxfId="48" totalsRowDxfId="47"/>
    <tableColumn id="14" xr3:uid="{F7BF61C6-D397-2143-B297-B12C2BF0A0CF}" name="SUB GENERALE" totalsRowDxfId="46"/>
    <tableColumn id="7" xr3:uid="{064D2ADD-726E-4089-8E63-77916E4AC627}" name="SUB TERTIAIRE" dataDxfId="45" totalsRowDxfId="44" dataCellStyle="Milliers"/>
    <tableColumn id="8" xr3:uid="{2E3BFA6D-F5BC-428B-925B-1EB9AF9705AE}" name="SUN" dataDxfId="43" totalsRowDxfId="42" dataCellStyle="Milliers"/>
    <tableColumn id="15" xr3:uid="{3FB712D8-EA4C-46EF-AF22-D1CB4DD9C863}" name="SUN TERTAIRE" dataDxfId="41" dataCellStyle="Milliers"/>
    <tableColumn id="4" xr3:uid="{159E0383-255A-49D7-BEF4-B2A14682D1B3}" name="CONTENANCE CADASTRALE (pour les terrains non bâtis)" dataDxfId="40" totalsRowDxfId="39"/>
    <tableColumn id="10" xr3:uid="{426D02E1-297E-49A3-B01C-B500DA825916}" name="RESIDENTS" dataDxfId="38" totalsRowDxfId="37"/>
    <tableColumn id="9" xr3:uid="{B1667B06-BE08-4F04-BF82-329D8A4D7BE9}" name="POSTES DE TRAVAIL" totalsRowFunction="count" dataDxfId="36" totalsRowDxfId="35"/>
    <tableColumn id="12" xr3:uid="{B7346A74-2BED-4542-AF30-FB6039B9EA21}" name="SUB/POSTE DE TRAVAIL" dataDxfId="34" totalsRowDxfId="33">
      <calculatedColumnFormula>IFERROR(Tableau1[[#This Row],[SUB TERTIAIRE]]/Tableau1[[#This Row],[POSTES DE TRAVAIL]],"")</calculatedColumnFormula>
    </tableColumn>
    <tableColumn id="11" xr3:uid="{A30F70EA-58F2-4BD2-BA86-C92448F127EC}" name="SUB/RESIDENT" dataDxfId="32" totalsRowDxfId="31"/>
    <tableColumn id="13" xr3:uid="{36C4B7B2-46BA-44EE-A763-94108167F74D}" name="SUN/SUB" dataDxfId="30" totalsRowDxfId="29">
      <calculatedColumnFormula>Tableau1[[#This Row],[SUN]]/Tableau1[[#This Row],[SUB TERTIAIRE]]</calculatedColumnFormula>
    </tableColumn>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FDDF6C-65F6-4946-A7B5-64836120BF95}" name="Tableau4" displayName="Tableau4" ref="B2:I128" totalsRowShown="0" headerRowDxfId="28" dataDxfId="27">
  <autoFilter ref="B2:I128" xr:uid="{A1FDDF6C-65F6-4946-A7B5-64836120BF95}"/>
  <tableColumns count="8">
    <tableColumn id="1" xr3:uid="{9FCE656D-C1EA-4133-AAE9-E9351A850DB3}" name="IDENTIFIANT BÂTIMENT_x000a_ (Code RUS)" dataDxfId="26"/>
    <tableColumn id="8" xr3:uid="{C8311C91-066D-46E0-AE0D-1E7A75E5A83D}" name="NOM BÂTIMENT" dataDxfId="25"/>
    <tableColumn id="2" xr3:uid="{585E5CB3-BF35-42B1-A988-97CAFF641351}" name="VILLE" dataDxfId="24"/>
    <tableColumn id="7" xr3:uid="{1C26AFBA-357F-47DC-9624-6E90BB2F2EDB}" name="FONCTIONNEL _x000a_POINTS D'ATTENTION " dataDxfId="23"/>
    <tableColumn id="3" xr3:uid="{965A3ABD-9B13-4670-B65A-937CC14A49AA}" name="Accessibilité et Patrimoine Historique _x000a_POINTS D'ATTENTION" dataDxfId="22"/>
    <tableColumn id="4" xr3:uid="{5C93E0CB-9D48-46D0-8439-970C21D55173}" name="TECHNIQUE_x000a_POINTS D'ATTENTION" dataDxfId="21"/>
    <tableColumn id="5" xr3:uid="{04C8B875-A413-446D-816F-FA3F7A09B4E0}" name="REGLEMENTAIRE_x000a_POINTS D'ATTENTION" dataDxfId="20"/>
    <tableColumn id="6" xr3:uid="{5C345FAF-2F86-4DA2-B927-D1BCF2AE3F48}" name="ENERGETIQUE - ENVIRONNEMENTAL_x000a_POINTS D'ATTENTION" dataDxfId="19"/>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2533183-2B58-46E6-99E0-C111F59B977F}" name="Tableau2" displayName="Tableau2" ref="B3:L11" totalsRowShown="0" headerRowDxfId="18">
  <tableColumns count="11">
    <tableColumn id="1" xr3:uid="{E7D7236E-BD4A-475E-A174-326E1C7EA3CC}" name="k€" dataDxfId="17"/>
    <tableColumn id="2" xr3:uid="{B6FFE50C-0EB2-4DDE-BB07-06FD4B453868}" name="2016"/>
    <tableColumn id="3" xr3:uid="{51024596-372A-43F8-9DCF-7AE149FD7D96}" name="2017"/>
    <tableColumn id="4" xr3:uid="{EBBC5D33-D5FD-4E99-93A5-070402A2289F}" name="2018"/>
    <tableColumn id="5" xr3:uid="{C8A45A82-F10C-4319-A255-9452FE8CBB37}" name="2019"/>
    <tableColumn id="6" xr3:uid="{20F71AC3-2941-41C3-891C-FC71462A2091}" name="2020"/>
    <tableColumn id="7" xr3:uid="{98301ED4-6834-41F9-B802-29A9D9A64A33}" name="2021"/>
    <tableColumn id="8" xr3:uid="{1E2CDA29-B298-4531-8A22-2ACFD140F6C8}" name="2022" dataDxfId="16"/>
    <tableColumn id="9" xr3:uid="{9E620051-008B-4E0A-B253-473C18AD6A5D}" name="2023"/>
    <tableColumn id="10" xr3:uid="{5BD7F1D0-919C-4250-98C6-53C5B58D7067}" name="2024"/>
    <tableColumn id="11" xr3:uid="{C3A68D08-ACF7-4298-9DB5-E7B4F1CBBCA6}" name="Moyenne ">
      <calculatedColumnFormula>IF(ISBLANK(Tableau2[[#This Row],[2016]]),"",AVERAGE(Tableau2[[#This Row],[2016]:[2021]]))</calculatedColumnFormula>
    </tableColumn>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95BC47-864A-4140-920D-FC9402B4D4A9}" name="Tableau3" displayName="Tableau3" ref="B13:K35" headerRowDxfId="15">
  <tableColumns count="10">
    <tableColumn id="1" xr3:uid="{E8A8CE92-CEAE-4434-B7FB-AA88A02C244E}" name="k€" totalsRowLabel="Total" dataDxfId="14" totalsRowDxfId="13"/>
    <tableColumn id="2" xr3:uid="{538885DB-D935-4017-8A30-58602EA6A39C}" name="2016" dataDxfId="12">
      <calculatedColumnFormula>SUBTOTAL(9,C15:C24)</calculatedColumnFormula>
    </tableColumn>
    <tableColumn id="3" xr3:uid="{5FB8447C-A8E4-4112-8876-5271631EB22A}" name="2017" dataDxfId="11"/>
    <tableColumn id="4" xr3:uid="{09C4708C-7121-46EE-BAA9-37CEC5CAD239}" name="2018" dataDxfId="10"/>
    <tableColumn id="5" xr3:uid="{BD96E2B0-14E3-48D2-9598-EF4748D5054E}" name="2019" dataDxfId="9"/>
    <tableColumn id="6" xr3:uid="{3B294038-36D6-41D3-8A1B-CCEA6EBB51F2}" name="2020" dataDxfId="8"/>
    <tableColumn id="7" xr3:uid="{9F4E06AB-8646-48B7-941C-BDACB6F995FF}" name="2021" dataDxfId="7"/>
    <tableColumn id="8" xr3:uid="{C38B8BE1-81C1-4BA4-8F4D-15A0124C0D57}" name="2022" dataDxfId="6"/>
    <tableColumn id="9" xr3:uid="{D81444A5-7CFC-421D-B34F-A58574B8FF71}" name="2023" dataDxfId="5"/>
    <tableColumn id="10" xr3:uid="{75AD29F4-90C9-49D3-847D-3E704952FF7E}" name="2024" dataDxfId="4"/>
  </tableColumns>
  <tableStyleInfo name="TableStyleLight1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2C6FF8-A57A-44C0-A1C5-CC6EE4808752}" name="Tableau55" displayName="Tableau55" ref="B3:G43" totalsRowShown="0" headerRowDxfId="3">
  <tableColumns count="6">
    <tableColumn id="2" xr3:uid="{20E6CC1F-A3E7-49EB-BA89-D9DA7CBF64A0}" name="FONCTION"/>
    <tableColumn id="4" xr3:uid="{DA5B0A4C-FEAE-43EA-B67C-5F7E2BA83E4D}" name="SERVICE / DIRECTION_x000a_DE RATTACHEMENT" dataDxfId="2"/>
    <tableColumn id="3" xr3:uid="{2ECDDFB0-63AA-46CB-BB8B-B8824FB8CB59}" name="ETP" dataDxfId="1"/>
    <tableColumn id="1" xr3:uid="{B5F40446-2A97-4831-A5F3-F5E375535D52}" name="Taux" dataDxfId="0"/>
    <tableColumn id="5" xr3:uid="{2141FED1-0EDE-41CF-8950-C8409B0695DA}" name="Effectif"/>
    <tableColumn id="6" xr3:uid="{4932B79D-1B1D-46F5-90EA-FC77846BE1C0}" name="Tâches"/>
  </tableColumns>
  <tableStyleInfo name="TableStyleLight18"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DB921-CC27-4110-B4A8-1AC3542E7E73}">
  <dimension ref="B1:Z149"/>
  <sheetViews>
    <sheetView showGridLines="0" tabSelected="1" zoomScale="80" zoomScaleNormal="80" workbookViewId="0">
      <pane xSplit="3" ySplit="4" topLeftCell="D31" activePane="bottomRight" state="frozen"/>
      <selection pane="topRight" activeCell="D1" sqref="D1"/>
      <selection pane="bottomLeft" activeCell="A5" sqref="A5"/>
      <selection pane="bottomRight" activeCell="C48" sqref="C48"/>
    </sheetView>
  </sheetViews>
  <sheetFormatPr baseColWidth="10" defaultColWidth="11.44140625" defaultRowHeight="14.4" x14ac:dyDescent="0.3"/>
  <cols>
    <col min="1" max="1" width="4.77734375" customWidth="1"/>
    <col min="2" max="2" width="36.44140625" style="160" customWidth="1"/>
    <col min="3" max="3" width="33.44140625" style="2" customWidth="1"/>
    <col min="4" max="4" width="26.6640625" style="2" customWidth="1"/>
    <col min="5" max="5" width="26.44140625" style="2" customWidth="1"/>
    <col min="6" max="6" width="24.44140625" customWidth="1"/>
    <col min="7" max="7" width="18.33203125" customWidth="1"/>
    <col min="8" max="8" width="25" style="2" customWidth="1"/>
    <col min="9" max="9" width="21.44140625" style="2" customWidth="1"/>
    <col min="10" max="10" width="26" customWidth="1"/>
    <col min="11" max="11" width="15.77734375" style="201" customWidth="1"/>
    <col min="12" max="12" width="26" customWidth="1"/>
    <col min="13" max="13" width="15.77734375" style="201" customWidth="1"/>
    <col min="14" max="14" width="16.44140625" hidden="1" customWidth="1"/>
    <col min="15" max="15" width="0" style="131" hidden="1" customWidth="1"/>
    <col min="16" max="16" width="15.6640625" customWidth="1"/>
    <col min="17" max="17" width="13.6640625" style="201" customWidth="1"/>
    <col min="18" max="20" width="13.6640625" customWidth="1"/>
    <col min="21" max="21" width="13.6640625" style="2" customWidth="1"/>
    <col min="22" max="23" width="17.109375" style="2" customWidth="1"/>
    <col min="24" max="25" width="17.109375" customWidth="1"/>
    <col min="26" max="26" width="17.109375" style="2" customWidth="1"/>
  </cols>
  <sheetData>
    <row r="1" spans="2:26" ht="27.75" customHeight="1" x14ac:dyDescent="0.3">
      <c r="B1" s="209" t="s">
        <v>0</v>
      </c>
      <c r="F1" s="2"/>
      <c r="G1" s="2"/>
      <c r="J1" s="2"/>
      <c r="K1" s="160"/>
      <c r="L1" s="2"/>
      <c r="P1" s="2"/>
      <c r="Q1" s="160"/>
      <c r="R1" s="2"/>
      <c r="U1"/>
      <c r="V1"/>
      <c r="W1"/>
      <c r="Z1"/>
    </row>
    <row r="2" spans="2:26" ht="75.75" customHeight="1" x14ac:dyDescent="0.3">
      <c r="C2" s="14"/>
      <c r="D2" s="15" t="s">
        <v>723</v>
      </c>
      <c r="E2" s="16"/>
      <c r="F2" s="17"/>
      <c r="G2" s="16"/>
      <c r="H2" s="16"/>
      <c r="I2" s="16"/>
      <c r="J2" s="14"/>
      <c r="K2" s="199" t="s">
        <v>1</v>
      </c>
      <c r="L2" s="195" t="s">
        <v>724</v>
      </c>
      <c r="N2" s="146" t="s">
        <v>2</v>
      </c>
      <c r="P2" s="14"/>
      <c r="Q2" s="197"/>
      <c r="R2" s="14"/>
      <c r="U2"/>
      <c r="V2"/>
      <c r="W2"/>
      <c r="Z2"/>
    </row>
    <row r="3" spans="2:26" x14ac:dyDescent="0.3">
      <c r="F3" s="2"/>
      <c r="G3" s="2"/>
      <c r="J3" s="2"/>
      <c r="K3" s="160"/>
      <c r="L3" s="2"/>
      <c r="N3" s="2">
        <v>0.63</v>
      </c>
      <c r="P3" s="2"/>
      <c r="Q3" s="160"/>
      <c r="R3" s="2"/>
      <c r="U3"/>
      <c r="V3"/>
      <c r="W3"/>
      <c r="Z3"/>
    </row>
    <row r="4" spans="2:26" s="20" customFormat="1" ht="45.6" x14ac:dyDescent="0.2">
      <c r="B4" s="196" t="s">
        <v>3</v>
      </c>
      <c r="C4" s="18" t="s">
        <v>4</v>
      </c>
      <c r="D4" s="18" t="s">
        <v>5</v>
      </c>
      <c r="E4" s="18" t="s">
        <v>6</v>
      </c>
      <c r="F4" s="18" t="s">
        <v>7</v>
      </c>
      <c r="G4" s="18" t="s">
        <v>8</v>
      </c>
      <c r="H4" s="18" t="s">
        <v>9</v>
      </c>
      <c r="I4" s="18" t="s">
        <v>10</v>
      </c>
      <c r="J4" s="18" t="s">
        <v>11</v>
      </c>
      <c r="K4" s="194" t="s">
        <v>12</v>
      </c>
      <c r="L4" s="196" t="s">
        <v>13</v>
      </c>
      <c r="M4" s="196" t="s">
        <v>14</v>
      </c>
      <c r="N4" s="19" t="s">
        <v>15</v>
      </c>
      <c r="O4" s="159" t="s">
        <v>16</v>
      </c>
      <c r="P4" s="18" t="s">
        <v>17</v>
      </c>
      <c r="Q4" s="196" t="s">
        <v>18</v>
      </c>
      <c r="R4" s="18" t="s">
        <v>19</v>
      </c>
      <c r="S4" s="18" t="s">
        <v>719</v>
      </c>
      <c r="T4" s="18" t="s">
        <v>720</v>
      </c>
      <c r="U4" s="18" t="s">
        <v>20</v>
      </c>
    </row>
    <row r="5" spans="2:26" x14ac:dyDescent="0.3">
      <c r="B5" s="198" t="s">
        <v>21</v>
      </c>
      <c r="C5" s="10"/>
      <c r="D5" s="10"/>
      <c r="E5" s="10"/>
      <c r="F5" s="10"/>
      <c r="G5" s="10"/>
      <c r="H5" s="10"/>
      <c r="I5" s="10"/>
      <c r="J5" s="10"/>
      <c r="K5" s="137"/>
      <c r="L5" s="135"/>
      <c r="M5" s="135"/>
      <c r="N5" s="135"/>
      <c r="O5" s="158"/>
      <c r="P5" s="10"/>
      <c r="Q5" s="10"/>
      <c r="R5" s="10"/>
      <c r="S5" s="10" t="str">
        <f>IFERROR(Tableau1[[#This Row],[SUB TERTIAIRE]]/Tableau1[[#This Row],[POSTES DE TRAVAIL]],"")</f>
        <v/>
      </c>
      <c r="T5" s="10" t="str">
        <f>IFERROR(Tableau1[[#This Row],[SUB TERTIAIRE]]/Tableau1[[#This Row],[RESIDENTS]],"")</f>
        <v/>
      </c>
      <c r="U5" s="10"/>
      <c r="V5"/>
      <c r="W5"/>
      <c r="Z5"/>
    </row>
    <row r="6" spans="2:26" s="21" customFormat="1" x14ac:dyDescent="0.3">
      <c r="B6" s="10">
        <v>320228</v>
      </c>
      <c r="C6" s="10" t="s">
        <v>22</v>
      </c>
      <c r="D6" s="10" t="s">
        <v>23</v>
      </c>
      <c r="E6" s="10" t="s">
        <v>24</v>
      </c>
      <c r="F6" s="10" t="s">
        <v>25</v>
      </c>
      <c r="G6" s="10" t="s">
        <v>26</v>
      </c>
      <c r="H6" s="10" t="s">
        <v>27</v>
      </c>
      <c r="I6" s="10" t="s">
        <v>28</v>
      </c>
      <c r="J6" s="10"/>
      <c r="K6" s="137">
        <v>2451</v>
      </c>
      <c r="L6" s="134">
        <f>Tableau1[[#This Row],[SPL (SDP)]]*0.87</f>
        <v>2132.37</v>
      </c>
      <c r="M6" s="204">
        <v>1358.44</v>
      </c>
      <c r="N6" s="163">
        <f>Tableau1[[#This Row],[SPL (SDP)]]*0.63</f>
        <v>1544.13</v>
      </c>
      <c r="O6" s="188">
        <v>983.7</v>
      </c>
      <c r="P6" s="10"/>
      <c r="Q6" s="10">
        <v>142</v>
      </c>
      <c r="R6" s="191">
        <v>186</v>
      </c>
      <c r="S6" s="31">
        <f>IFERROR(Tableau1[[#This Row],[SUB TERTIAIRE]]/Tableau1[[#This Row],[POSTES DE TRAVAIL]],"")</f>
        <v>7.303440860215054</v>
      </c>
      <c r="T6" s="31">
        <f>IFERROR(Tableau1[[#This Row],[SUB TERTIAIRE]]/Tableau1[[#This Row],[RESIDENTS]],"")</f>
        <v>9.5664788732394364</v>
      </c>
      <c r="U6" s="31">
        <f>Tableau1[[#This Row],[SUN]]/Tableau1[[#This Row],[SUB GENERALE]]</f>
        <v>0.72413793103448287</v>
      </c>
    </row>
    <row r="7" spans="2:26" s="21" customFormat="1" x14ac:dyDescent="0.3">
      <c r="B7" s="10">
        <v>390366</v>
      </c>
      <c r="C7" s="10" t="s">
        <v>29</v>
      </c>
      <c r="D7" s="10" t="s">
        <v>23</v>
      </c>
      <c r="E7" s="10" t="s">
        <v>30</v>
      </c>
      <c r="F7" s="10" t="s">
        <v>25</v>
      </c>
      <c r="G7" s="10" t="s">
        <v>26</v>
      </c>
      <c r="H7" s="10" t="s">
        <v>27</v>
      </c>
      <c r="I7" s="10" t="s">
        <v>28</v>
      </c>
      <c r="J7" s="10"/>
      <c r="K7" s="137">
        <v>4382</v>
      </c>
      <c r="L7" s="134">
        <f>Tableau1[[#This Row],[SPL (SDP)]]*0.87</f>
        <v>3812.34</v>
      </c>
      <c r="M7" s="204">
        <v>387.04</v>
      </c>
      <c r="N7" s="163">
        <f>Tableau1[[#This Row],[SPL (SDP)]]*0.63</f>
        <v>2760.66</v>
      </c>
      <c r="O7" s="188">
        <v>280.27</v>
      </c>
      <c r="P7" s="10"/>
      <c r="Q7" s="10">
        <v>37</v>
      </c>
      <c r="R7" s="191">
        <v>47</v>
      </c>
      <c r="S7" s="31">
        <f>IFERROR(Tableau1[[#This Row],[SUB TERTIAIRE]]/Tableau1[[#This Row],[POSTES DE TRAVAIL]],"")</f>
        <v>8.2348936170212763</v>
      </c>
      <c r="T7" s="31">
        <f>IFERROR(Tableau1[[#This Row],[SUB TERTIAIRE]]/Tableau1[[#This Row],[RESIDENTS]],"")</f>
        <v>10.46054054054054</v>
      </c>
      <c r="U7" s="31">
        <f>Tableau1[[#This Row],[SUN]]/Tableau1[[#This Row],[SUB GENERALE]]</f>
        <v>0.72413793103448265</v>
      </c>
    </row>
    <row r="8" spans="2:26" s="21" customFormat="1" x14ac:dyDescent="0.3">
      <c r="B8" s="10">
        <v>390367</v>
      </c>
      <c r="C8" s="10" t="s">
        <v>31</v>
      </c>
      <c r="D8" s="10" t="s">
        <v>23</v>
      </c>
      <c r="E8" s="10" t="s">
        <v>32</v>
      </c>
      <c r="F8" s="10" t="s">
        <v>25</v>
      </c>
      <c r="G8" s="10" t="s">
        <v>26</v>
      </c>
      <c r="H8" s="10" t="s">
        <v>27</v>
      </c>
      <c r="I8" s="10" t="s">
        <v>28</v>
      </c>
      <c r="J8" s="10"/>
      <c r="K8" s="137">
        <v>1257</v>
      </c>
      <c r="L8" s="134">
        <f>Tableau1[[#This Row],[SPL (SDP)]]*0.87</f>
        <v>1093.5899999999999</v>
      </c>
      <c r="M8" s="204">
        <v>93.61</v>
      </c>
      <c r="N8" s="163">
        <f>Tableau1[[#This Row],[SPL (SDP)]]*0.63</f>
        <v>791.91</v>
      </c>
      <c r="O8" s="188">
        <v>67.790000000000006</v>
      </c>
      <c r="P8" s="10"/>
      <c r="Q8" s="10">
        <v>16</v>
      </c>
      <c r="R8" s="191">
        <v>16</v>
      </c>
      <c r="S8" s="31">
        <f>IFERROR(Tableau1[[#This Row],[SUB TERTIAIRE]]/Tableau1[[#This Row],[POSTES DE TRAVAIL]],"")</f>
        <v>5.850625</v>
      </c>
      <c r="T8" s="31">
        <f>IFERROR(Tableau1[[#This Row],[SUB TERTIAIRE]]/Tableau1[[#This Row],[RESIDENTS]],"")</f>
        <v>5.850625</v>
      </c>
      <c r="U8" s="31">
        <f>Tableau1[[#This Row],[SUN]]/Tableau1[[#This Row],[SUB GENERALE]]</f>
        <v>0.72413793103448276</v>
      </c>
    </row>
    <row r="9" spans="2:26" s="21" customFormat="1" x14ac:dyDescent="0.3">
      <c r="B9" s="10">
        <v>390368</v>
      </c>
      <c r="C9" s="10" t="s">
        <v>33</v>
      </c>
      <c r="D9" s="10" t="s">
        <v>23</v>
      </c>
      <c r="E9" s="10" t="s">
        <v>32</v>
      </c>
      <c r="F9" s="10" t="s">
        <v>25</v>
      </c>
      <c r="G9" s="10" t="s">
        <v>26</v>
      </c>
      <c r="H9" s="10" t="s">
        <v>27</v>
      </c>
      <c r="I9" s="10" t="s">
        <v>28</v>
      </c>
      <c r="J9" s="10"/>
      <c r="K9" s="137">
        <v>2355</v>
      </c>
      <c r="L9" s="134">
        <f>Tableau1[[#This Row],[SPL (SDP)]]*0.87</f>
        <v>2048.85</v>
      </c>
      <c r="M9" s="204">
        <v>56.31</v>
      </c>
      <c r="N9" s="163">
        <f>Tableau1[[#This Row],[SPL (SDP)]]*0.63</f>
        <v>1483.65</v>
      </c>
      <c r="O9" s="188">
        <v>40.770000000000003</v>
      </c>
      <c r="P9" s="10"/>
      <c r="Q9" s="10">
        <v>4</v>
      </c>
      <c r="R9" s="191">
        <v>11</v>
      </c>
      <c r="S9" s="31">
        <f>IFERROR(Tableau1[[#This Row],[SUB TERTIAIRE]]/Tableau1[[#This Row],[POSTES DE TRAVAIL]],"")</f>
        <v>5.1190909090909091</v>
      </c>
      <c r="T9" s="31">
        <f>IFERROR(Tableau1[[#This Row],[SUB TERTIAIRE]]/Tableau1[[#This Row],[RESIDENTS]],"")</f>
        <v>14.077500000000001</v>
      </c>
      <c r="U9" s="31">
        <f>Tableau1[[#This Row],[SUN]]/Tableau1[[#This Row],[SUB GENERALE]]</f>
        <v>0.72413793103448287</v>
      </c>
    </row>
    <row r="10" spans="2:26" s="21" customFormat="1" x14ac:dyDescent="0.3">
      <c r="B10" s="10">
        <v>390369</v>
      </c>
      <c r="C10" s="10" t="s">
        <v>34</v>
      </c>
      <c r="D10" s="10" t="s">
        <v>23</v>
      </c>
      <c r="E10" s="10" t="s">
        <v>35</v>
      </c>
      <c r="F10" s="10" t="s">
        <v>25</v>
      </c>
      <c r="G10" s="10" t="s">
        <v>26</v>
      </c>
      <c r="H10" s="10" t="s">
        <v>27</v>
      </c>
      <c r="I10" s="10" t="s">
        <v>28</v>
      </c>
      <c r="J10" s="10"/>
      <c r="K10" s="137">
        <v>3411</v>
      </c>
      <c r="L10" s="134">
        <f>Tableau1[[#This Row],[SPL (SDP)]]*0.87</f>
        <v>2967.57</v>
      </c>
      <c r="M10" s="204">
        <v>432.96</v>
      </c>
      <c r="N10" s="163">
        <f>Tableau1[[#This Row],[SPL (SDP)]]*0.63</f>
        <v>2148.9299999999998</v>
      </c>
      <c r="O10" s="188">
        <v>313.52</v>
      </c>
      <c r="P10" s="10"/>
      <c r="Q10" s="10">
        <v>101</v>
      </c>
      <c r="R10" s="191">
        <v>128</v>
      </c>
      <c r="S10" s="31">
        <f>IFERROR(Tableau1[[#This Row],[SUB TERTIAIRE]]/Tableau1[[#This Row],[POSTES DE TRAVAIL]],"")</f>
        <v>3.3824999999999998</v>
      </c>
      <c r="T10" s="31">
        <f>IFERROR(Tableau1[[#This Row],[SUB TERTIAIRE]]/Tableau1[[#This Row],[RESIDENTS]],"")</f>
        <v>4.2867326732673261</v>
      </c>
      <c r="U10" s="31">
        <f>Tableau1[[#This Row],[SUN]]/Tableau1[[#This Row],[SUB GENERALE]]</f>
        <v>0.72413793103448265</v>
      </c>
    </row>
    <row r="11" spans="2:26" s="21" customFormat="1" x14ac:dyDescent="0.3">
      <c r="B11" s="10">
        <v>390373</v>
      </c>
      <c r="C11" s="10" t="s">
        <v>36</v>
      </c>
      <c r="D11" s="10" t="s">
        <v>23</v>
      </c>
      <c r="E11" s="10" t="s">
        <v>32</v>
      </c>
      <c r="F11" s="10" t="s">
        <v>25</v>
      </c>
      <c r="G11" s="10" t="s">
        <v>26</v>
      </c>
      <c r="H11" s="10" t="s">
        <v>27</v>
      </c>
      <c r="I11" s="10" t="s">
        <v>28</v>
      </c>
      <c r="J11" s="10"/>
      <c r="K11" s="137">
        <v>488</v>
      </c>
      <c r="L11" s="134">
        <f>Tableau1[[#This Row],[SPL (SDP)]]*0.87</f>
        <v>424.56</v>
      </c>
      <c r="M11" s="204">
        <v>225.36</v>
      </c>
      <c r="N11" s="163">
        <f>Tableau1[[#This Row],[SPL (SDP)]]*0.63</f>
        <v>307.44</v>
      </c>
      <c r="O11" s="188">
        <v>163.19</v>
      </c>
      <c r="P11" s="10"/>
      <c r="Q11" s="10">
        <v>0</v>
      </c>
      <c r="R11" s="191">
        <v>11</v>
      </c>
      <c r="S11" s="31">
        <f>IFERROR(Tableau1[[#This Row],[SUB TERTIAIRE]]/Tableau1[[#This Row],[POSTES DE TRAVAIL]],"")</f>
        <v>20.487272727272728</v>
      </c>
      <c r="T11" s="31" t="str">
        <f>IFERROR(Tableau1[[#This Row],[SUB TERTIAIRE]]/Tableau1[[#This Row],[RESIDENTS]],"")</f>
        <v/>
      </c>
      <c r="U11" s="31">
        <f>Tableau1[[#This Row],[SUN]]/Tableau1[[#This Row],[SUB GENERALE]]</f>
        <v>0.72413793103448276</v>
      </c>
    </row>
    <row r="12" spans="2:26" s="21" customFormat="1" x14ac:dyDescent="0.3">
      <c r="B12" s="10">
        <v>390374</v>
      </c>
      <c r="C12" s="10" t="s">
        <v>38</v>
      </c>
      <c r="D12" s="10" t="s">
        <v>23</v>
      </c>
      <c r="E12" s="10" t="s">
        <v>35</v>
      </c>
      <c r="F12" s="10" t="s">
        <v>25</v>
      </c>
      <c r="G12" s="10" t="s">
        <v>26</v>
      </c>
      <c r="H12" s="10" t="s">
        <v>27</v>
      </c>
      <c r="I12" s="10" t="s">
        <v>28</v>
      </c>
      <c r="J12" s="10"/>
      <c r="K12" s="137">
        <v>699</v>
      </c>
      <c r="L12" s="134">
        <f>Tableau1[[#This Row],[SPL (SDP)]]*0.87</f>
        <v>608.13</v>
      </c>
      <c r="M12" s="204">
        <v>290.45999999999998</v>
      </c>
      <c r="N12" s="163">
        <f>Tableau1[[#This Row],[SPL (SDP)]]*0.63</f>
        <v>440.37</v>
      </c>
      <c r="O12" s="188">
        <v>210.33</v>
      </c>
      <c r="P12" s="10"/>
      <c r="Q12" s="10">
        <v>85</v>
      </c>
      <c r="R12" s="191">
        <v>46</v>
      </c>
      <c r="S12" s="31">
        <f>IFERROR(Tableau1[[#This Row],[SUB TERTIAIRE]]/Tableau1[[#This Row],[POSTES DE TRAVAIL]],"")</f>
        <v>6.3143478260869559</v>
      </c>
      <c r="T12" s="31">
        <f>IFERROR(Tableau1[[#This Row],[SUB TERTIAIRE]]/Tableau1[[#This Row],[RESIDENTS]],"")</f>
        <v>3.417176470588235</v>
      </c>
      <c r="U12" s="31">
        <f>Tableau1[[#This Row],[SUN]]/Tableau1[[#This Row],[SUB GENERALE]]</f>
        <v>0.72413793103448276</v>
      </c>
    </row>
    <row r="13" spans="2:26" s="21" customFormat="1" x14ac:dyDescent="0.3">
      <c r="B13" s="10">
        <v>390375</v>
      </c>
      <c r="C13" s="10" t="s">
        <v>39</v>
      </c>
      <c r="D13" s="10" t="s">
        <v>23</v>
      </c>
      <c r="E13" s="10" t="s">
        <v>32</v>
      </c>
      <c r="F13" s="10" t="s">
        <v>25</v>
      </c>
      <c r="G13" s="10" t="s">
        <v>26</v>
      </c>
      <c r="H13" s="10" t="s">
        <v>27</v>
      </c>
      <c r="I13" s="10" t="s">
        <v>28</v>
      </c>
      <c r="J13" s="10"/>
      <c r="K13" s="137">
        <v>496</v>
      </c>
      <c r="L13" s="134">
        <f>Tableau1[[#This Row],[SPL (SDP)]]*0.87</f>
        <v>431.52</v>
      </c>
      <c r="M13" s="204">
        <v>144.97999999999999</v>
      </c>
      <c r="N13" s="163">
        <f>Tableau1[[#This Row],[SPL (SDP)]]*0.63</f>
        <v>312.48</v>
      </c>
      <c r="O13" s="188">
        <v>104.98</v>
      </c>
      <c r="P13" s="10"/>
      <c r="Q13" s="10">
        <v>0</v>
      </c>
      <c r="R13" s="191">
        <v>0</v>
      </c>
      <c r="S13" s="31" t="str">
        <f>IFERROR(Tableau1[[#This Row],[SUB TERTIAIRE]]/Tableau1[[#This Row],[POSTES DE TRAVAIL]],"")</f>
        <v/>
      </c>
      <c r="T13" s="31" t="str">
        <f>IFERROR(Tableau1[[#This Row],[SUB TERTIAIRE]]/Tableau1[[#This Row],[RESIDENTS]],"")</f>
        <v/>
      </c>
      <c r="U13" s="31">
        <f>Tableau1[[#This Row],[SUN]]/Tableau1[[#This Row],[SUB GENERALE]]</f>
        <v>0.72413793103448287</v>
      </c>
    </row>
    <row r="14" spans="2:26" s="21" customFormat="1" x14ac:dyDescent="0.3">
      <c r="B14" s="10">
        <v>390376</v>
      </c>
      <c r="C14" s="10" t="s">
        <v>40</v>
      </c>
      <c r="D14" s="10" t="s">
        <v>23</v>
      </c>
      <c r="E14" s="10" t="s">
        <v>32</v>
      </c>
      <c r="F14" s="10" t="s">
        <v>25</v>
      </c>
      <c r="G14" s="10" t="s">
        <v>26</v>
      </c>
      <c r="H14" s="10" t="s">
        <v>27</v>
      </c>
      <c r="I14" s="10" t="s">
        <v>28</v>
      </c>
      <c r="J14" s="10"/>
      <c r="K14" s="137">
        <v>497</v>
      </c>
      <c r="L14" s="134">
        <f>Tableau1[[#This Row],[SPL (SDP)]]*0.87</f>
        <v>432.39</v>
      </c>
      <c r="M14" s="204">
        <v>16.02</v>
      </c>
      <c r="N14" s="163">
        <f>Tableau1[[#This Row],[SPL (SDP)]]*0.63</f>
        <v>313.11</v>
      </c>
      <c r="O14" s="188">
        <v>11.6</v>
      </c>
      <c r="P14" s="10"/>
      <c r="Q14" s="10">
        <v>0</v>
      </c>
      <c r="R14" s="191">
        <v>0</v>
      </c>
      <c r="S14" s="31" t="str">
        <f>IFERROR(Tableau1[[#This Row],[SUB TERTIAIRE]]/Tableau1[[#This Row],[POSTES DE TRAVAIL]],"")</f>
        <v/>
      </c>
      <c r="T14" s="31" t="str">
        <f>IFERROR(Tableau1[[#This Row],[SUB TERTIAIRE]]/Tableau1[[#This Row],[RESIDENTS]],"")</f>
        <v/>
      </c>
      <c r="U14" s="31">
        <f>Tableau1[[#This Row],[SUN]]/Tableau1[[#This Row],[SUB GENERALE]]</f>
        <v>0.72413793103448276</v>
      </c>
    </row>
    <row r="15" spans="2:26" s="21" customFormat="1" x14ac:dyDescent="0.3">
      <c r="B15" s="10">
        <v>390377</v>
      </c>
      <c r="C15" s="10" t="s">
        <v>41</v>
      </c>
      <c r="D15" s="10" t="s">
        <v>23</v>
      </c>
      <c r="E15" s="10" t="s">
        <v>32</v>
      </c>
      <c r="F15" s="10" t="s">
        <v>25</v>
      </c>
      <c r="G15" s="10" t="s">
        <v>26</v>
      </c>
      <c r="H15" s="10" t="s">
        <v>27</v>
      </c>
      <c r="I15" s="10" t="s">
        <v>28</v>
      </c>
      <c r="J15" s="10"/>
      <c r="K15" s="137">
        <v>2461</v>
      </c>
      <c r="L15" s="134">
        <f>Tableau1[[#This Row],[SPL (SDP)]]*0.87</f>
        <v>2141.0700000000002</v>
      </c>
      <c r="M15" s="163">
        <v>86.62</v>
      </c>
      <c r="N15" s="163">
        <f>Tableau1[[#This Row],[SPL (SDP)]]*0.63</f>
        <v>1550.43</v>
      </c>
      <c r="O15" s="189">
        <v>62.72</v>
      </c>
      <c r="P15" s="10"/>
      <c r="Q15" s="10">
        <v>25</v>
      </c>
      <c r="R15" s="191">
        <v>3</v>
      </c>
      <c r="S15" s="31">
        <f>IFERROR(Tableau1[[#This Row],[SUB TERTIAIRE]]/Tableau1[[#This Row],[POSTES DE TRAVAIL]],"")</f>
        <v>28.873333333333335</v>
      </c>
      <c r="T15" s="31">
        <f>IFERROR(Tableau1[[#This Row],[SUB TERTIAIRE]]/Tableau1[[#This Row],[RESIDENTS]],"")</f>
        <v>3.4648000000000003</v>
      </c>
      <c r="U15" s="31">
        <f>Tableau1[[#This Row],[SUN]]/Tableau1[[#This Row],[SUB GENERALE]]</f>
        <v>0.72413793103448276</v>
      </c>
    </row>
    <row r="16" spans="2:26" s="21" customFormat="1" x14ac:dyDescent="0.3">
      <c r="B16" s="10">
        <v>390378</v>
      </c>
      <c r="C16" s="10" t="s">
        <v>42</v>
      </c>
      <c r="D16" s="10" t="s">
        <v>23</v>
      </c>
      <c r="E16" s="10" t="s">
        <v>35</v>
      </c>
      <c r="F16" s="10" t="s">
        <v>25</v>
      </c>
      <c r="G16" s="10" t="s">
        <v>26</v>
      </c>
      <c r="H16" s="10" t="s">
        <v>27</v>
      </c>
      <c r="I16" s="10" t="s">
        <v>28</v>
      </c>
      <c r="J16" s="10"/>
      <c r="K16" s="137">
        <v>3317</v>
      </c>
      <c r="L16" s="134">
        <f>Tableau1[[#This Row],[SPL (SDP)]]*0.87</f>
        <v>2885.79</v>
      </c>
      <c r="M16" s="163">
        <v>863.6</v>
      </c>
      <c r="N16" s="163">
        <f>Tableau1[[#This Row],[SPL (SDP)]]*0.63</f>
        <v>2089.71</v>
      </c>
      <c r="O16" s="189">
        <v>625.36</v>
      </c>
      <c r="P16" s="10"/>
      <c r="Q16" s="10">
        <v>105</v>
      </c>
      <c r="R16" s="191">
        <v>140</v>
      </c>
      <c r="S16" s="31">
        <f>IFERROR(Tableau1[[#This Row],[SUB TERTIAIRE]]/Tableau1[[#This Row],[POSTES DE TRAVAIL]],"")</f>
        <v>6.168571428571429</v>
      </c>
      <c r="T16" s="31">
        <f>IFERROR(Tableau1[[#This Row],[SUB TERTIAIRE]]/Tableau1[[#This Row],[RESIDENTS]],"")</f>
        <v>8.2247619047619054</v>
      </c>
      <c r="U16" s="31">
        <f>Tableau1[[#This Row],[SUN]]/Tableau1[[#This Row],[SUB GENERALE]]</f>
        <v>0.72413793103448276</v>
      </c>
    </row>
    <row r="17" spans="2:21" s="21" customFormat="1" x14ac:dyDescent="0.3">
      <c r="B17" s="10">
        <v>390379</v>
      </c>
      <c r="C17" s="10" t="s">
        <v>43</v>
      </c>
      <c r="D17" s="10" t="s">
        <v>23</v>
      </c>
      <c r="E17" s="10" t="s">
        <v>32</v>
      </c>
      <c r="F17" s="10" t="s">
        <v>25</v>
      </c>
      <c r="G17" s="10" t="s">
        <v>26</v>
      </c>
      <c r="H17" s="10" t="s">
        <v>27</v>
      </c>
      <c r="I17" s="10" t="s">
        <v>28</v>
      </c>
      <c r="J17" s="10"/>
      <c r="K17" s="137">
        <v>526</v>
      </c>
      <c r="L17" s="134">
        <f>Tableau1[[#This Row],[SPL (SDP)]]*0.87</f>
        <v>457.62</v>
      </c>
      <c r="M17" s="163">
        <v>386.79</v>
      </c>
      <c r="N17" s="163">
        <f>Tableau1[[#This Row],[SPL (SDP)]]*0.63</f>
        <v>331.38</v>
      </c>
      <c r="O17" s="189">
        <v>280.08999999999997</v>
      </c>
      <c r="P17" s="10"/>
      <c r="Q17" s="10">
        <v>15</v>
      </c>
      <c r="R17" s="191">
        <v>35</v>
      </c>
      <c r="S17" s="31">
        <f>IFERROR(Tableau1[[#This Row],[SUB TERTIAIRE]]/Tableau1[[#This Row],[POSTES DE TRAVAIL]],"")</f>
        <v>11.051142857142858</v>
      </c>
      <c r="T17" s="31">
        <f>IFERROR(Tableau1[[#This Row],[SUB TERTIAIRE]]/Tableau1[[#This Row],[RESIDENTS]],"")</f>
        <v>25.786000000000001</v>
      </c>
      <c r="U17" s="31">
        <f>Tableau1[[#This Row],[SUN]]/Tableau1[[#This Row],[SUB GENERALE]]</f>
        <v>0.72413793103448276</v>
      </c>
    </row>
    <row r="18" spans="2:21" s="21" customFormat="1" x14ac:dyDescent="0.3">
      <c r="B18" s="10">
        <v>390381</v>
      </c>
      <c r="C18" s="10" t="s">
        <v>44</v>
      </c>
      <c r="D18" s="10" t="s">
        <v>23</v>
      </c>
      <c r="E18" s="10" t="s">
        <v>32</v>
      </c>
      <c r="F18" s="10" t="s">
        <v>25</v>
      </c>
      <c r="G18" s="10" t="s">
        <v>26</v>
      </c>
      <c r="H18" s="10" t="s">
        <v>27</v>
      </c>
      <c r="I18" s="10" t="s">
        <v>28</v>
      </c>
      <c r="J18" s="10"/>
      <c r="K18" s="137">
        <v>2946</v>
      </c>
      <c r="L18" s="134">
        <f>Tableau1[[#This Row],[SPL (SDP)]]*0.87</f>
        <v>2563.02</v>
      </c>
      <c r="M18" s="134">
        <v>18.739999999999998</v>
      </c>
      <c r="N18" s="163">
        <f>Tableau1[[#This Row],[SPL (SDP)]]*0.63</f>
        <v>1855.98</v>
      </c>
      <c r="O18" s="181">
        <v>13.57</v>
      </c>
      <c r="P18" s="10"/>
      <c r="Q18" s="10">
        <v>17</v>
      </c>
      <c r="R18" s="191">
        <v>3</v>
      </c>
      <c r="S18" s="31">
        <f>IFERROR(Tableau1[[#This Row],[SUB TERTIAIRE]]/Tableau1[[#This Row],[POSTES DE TRAVAIL]],"")</f>
        <v>6.2466666666666661</v>
      </c>
      <c r="T18" s="31">
        <f>IFERROR(Tableau1[[#This Row],[SUB TERTIAIRE]]/Tableau1[[#This Row],[RESIDENTS]],"")</f>
        <v>1.1023529411764705</v>
      </c>
      <c r="U18" s="31">
        <f>Tableau1[[#This Row],[SUN]]/Tableau1[[#This Row],[SUB GENERALE]]</f>
        <v>0.72413793103448276</v>
      </c>
    </row>
    <row r="19" spans="2:21" s="21" customFormat="1" x14ac:dyDescent="0.3">
      <c r="B19" s="10">
        <v>390382</v>
      </c>
      <c r="C19" s="10" t="s">
        <v>45</v>
      </c>
      <c r="D19" s="10"/>
      <c r="E19" s="10"/>
      <c r="F19" s="10" t="s">
        <v>25</v>
      </c>
      <c r="G19" s="10" t="s">
        <v>26</v>
      </c>
      <c r="H19" s="10" t="s">
        <v>27</v>
      </c>
      <c r="I19" s="10" t="s">
        <v>28</v>
      </c>
      <c r="J19" s="10"/>
      <c r="K19" s="137">
        <v>2486</v>
      </c>
      <c r="L19" s="134">
        <f>Tableau1[[#This Row],[SPL (SDP)]]*0.87</f>
        <v>2162.8200000000002</v>
      </c>
      <c r="M19" s="134">
        <v>333.27</v>
      </c>
      <c r="N19" s="163">
        <f>Tableau1[[#This Row],[SPL (SDP)]]*0.63</f>
        <v>1566.18</v>
      </c>
      <c r="O19" s="181">
        <v>241.33</v>
      </c>
      <c r="P19" s="10"/>
      <c r="Q19" s="10">
        <v>85</v>
      </c>
      <c r="R19" s="191">
        <v>108</v>
      </c>
      <c r="S19" s="31">
        <f>IFERROR(Tableau1[[#This Row],[SUB TERTIAIRE]]/Tableau1[[#This Row],[POSTES DE TRAVAIL]],"")</f>
        <v>3.085833333333333</v>
      </c>
      <c r="T19" s="31">
        <f>IFERROR(Tableau1[[#This Row],[SUB TERTIAIRE]]/Tableau1[[#This Row],[RESIDENTS]],"")</f>
        <v>3.9208235294117646</v>
      </c>
      <c r="U19" s="31">
        <f>Tableau1[[#This Row],[SUN]]/Tableau1[[#This Row],[SUB GENERALE]]</f>
        <v>0.72413793103448276</v>
      </c>
    </row>
    <row r="20" spans="2:21" s="21" customFormat="1" x14ac:dyDescent="0.3">
      <c r="B20" s="10">
        <v>390383</v>
      </c>
      <c r="C20" s="10" t="s">
        <v>46</v>
      </c>
      <c r="D20" s="10" t="s">
        <v>23</v>
      </c>
      <c r="E20" s="10" t="s">
        <v>24</v>
      </c>
      <c r="F20" s="10" t="s">
        <v>25</v>
      </c>
      <c r="G20" s="10" t="s">
        <v>26</v>
      </c>
      <c r="H20" s="10" t="s">
        <v>27</v>
      </c>
      <c r="I20" s="10" t="s">
        <v>28</v>
      </c>
      <c r="J20" s="10"/>
      <c r="K20" s="137">
        <v>739</v>
      </c>
      <c r="L20" s="134">
        <f>Tableau1[[#This Row],[SPL (SDP)]]*0.87</f>
        <v>642.92999999999995</v>
      </c>
      <c r="M20" s="134">
        <v>245.19</v>
      </c>
      <c r="N20" s="163">
        <f>Tableau1[[#This Row],[SPL (SDP)]]*0.63</f>
        <v>465.57</v>
      </c>
      <c r="O20" s="181">
        <v>177.55</v>
      </c>
      <c r="P20" s="10"/>
      <c r="Q20" s="10">
        <v>45</v>
      </c>
      <c r="R20" s="191">
        <v>66</v>
      </c>
      <c r="S20" s="31">
        <f>IFERROR(Tableau1[[#This Row],[SUB TERTIAIRE]]/Tableau1[[#This Row],[POSTES DE TRAVAIL]],"")</f>
        <v>3.7149999999999999</v>
      </c>
      <c r="T20" s="31">
        <f>IFERROR(Tableau1[[#This Row],[SUB TERTIAIRE]]/Tableau1[[#This Row],[RESIDENTS]],"")</f>
        <v>5.448666666666667</v>
      </c>
      <c r="U20" s="31">
        <f>Tableau1[[#This Row],[SUN]]/Tableau1[[#This Row],[SUB GENERALE]]</f>
        <v>0.72413793103448276</v>
      </c>
    </row>
    <row r="21" spans="2:21" s="21" customFormat="1" x14ac:dyDescent="0.3">
      <c r="B21" s="10">
        <v>390384</v>
      </c>
      <c r="C21" s="10" t="s">
        <v>47</v>
      </c>
      <c r="D21" s="10" t="s">
        <v>23</v>
      </c>
      <c r="E21" s="10" t="s">
        <v>35</v>
      </c>
      <c r="F21" s="10" t="s">
        <v>25</v>
      </c>
      <c r="G21" s="10" t="s">
        <v>26</v>
      </c>
      <c r="H21" s="10" t="s">
        <v>27</v>
      </c>
      <c r="I21" s="10" t="s">
        <v>28</v>
      </c>
      <c r="J21" s="10"/>
      <c r="K21" s="137">
        <v>4525</v>
      </c>
      <c r="L21" s="134">
        <f>Tableau1[[#This Row],[SPL (SDP)]]*0.87</f>
        <v>3936.75</v>
      </c>
      <c r="M21" s="134">
        <v>756.32</v>
      </c>
      <c r="N21" s="163">
        <f>Tableau1[[#This Row],[SPL (SDP)]]*0.63</f>
        <v>2850.75</v>
      </c>
      <c r="O21" s="181">
        <v>547.67999999999995</v>
      </c>
      <c r="P21" s="10"/>
      <c r="Q21" s="10">
        <v>122</v>
      </c>
      <c r="R21" s="191">
        <v>157</v>
      </c>
      <c r="S21" s="31">
        <f>IFERROR(Tableau1[[#This Row],[SUB TERTIAIRE]]/Tableau1[[#This Row],[POSTES DE TRAVAIL]],"")</f>
        <v>4.8173248407643312</v>
      </c>
      <c r="T21" s="31">
        <f>IFERROR(Tableau1[[#This Row],[SUB TERTIAIRE]]/Tableau1[[#This Row],[RESIDENTS]],"")</f>
        <v>6.1993442622950825</v>
      </c>
      <c r="U21" s="31">
        <f>Tableau1[[#This Row],[SUN]]/Tableau1[[#This Row],[SUB GENERALE]]</f>
        <v>0.72413793103448276</v>
      </c>
    </row>
    <row r="22" spans="2:21" s="21" customFormat="1" x14ac:dyDescent="0.3">
      <c r="B22" s="10">
        <v>390385</v>
      </c>
      <c r="C22" s="10" t="s">
        <v>48</v>
      </c>
      <c r="D22" s="10" t="s">
        <v>23</v>
      </c>
      <c r="E22" s="10" t="s">
        <v>32</v>
      </c>
      <c r="F22" s="10" t="s">
        <v>25</v>
      </c>
      <c r="G22" s="10" t="s">
        <v>26</v>
      </c>
      <c r="H22" s="10" t="s">
        <v>27</v>
      </c>
      <c r="I22" s="10" t="s">
        <v>28</v>
      </c>
      <c r="J22" s="10"/>
      <c r="K22" s="137">
        <v>2669</v>
      </c>
      <c r="L22" s="134">
        <f>Tableau1[[#This Row],[SPL (SDP)]]*0.87</f>
        <v>2322.0300000000002</v>
      </c>
      <c r="M22" s="134">
        <v>33.4</v>
      </c>
      <c r="N22" s="163">
        <f>Tableau1[[#This Row],[SPL (SDP)]]*0.63</f>
        <v>1681.47</v>
      </c>
      <c r="O22" s="181">
        <v>24.19</v>
      </c>
      <c r="P22" s="10"/>
      <c r="Q22" s="10">
        <v>36</v>
      </c>
      <c r="R22" s="191">
        <v>14</v>
      </c>
      <c r="S22" s="31">
        <f>IFERROR(Tableau1[[#This Row],[SUB TERTIAIRE]]/Tableau1[[#This Row],[POSTES DE TRAVAIL]],"")</f>
        <v>2.3857142857142857</v>
      </c>
      <c r="T22" s="31">
        <f>IFERROR(Tableau1[[#This Row],[SUB TERTIAIRE]]/Tableau1[[#This Row],[RESIDENTS]],"")</f>
        <v>0.9277777777777777</v>
      </c>
      <c r="U22" s="31">
        <f>Tableau1[[#This Row],[SUN]]/Tableau1[[#This Row],[SUB GENERALE]]</f>
        <v>0.72413793103448276</v>
      </c>
    </row>
    <row r="23" spans="2:21" s="21" customFormat="1" x14ac:dyDescent="0.3">
      <c r="B23" s="10">
        <v>390386</v>
      </c>
      <c r="C23" s="10" t="s">
        <v>49</v>
      </c>
      <c r="D23" s="10" t="s">
        <v>23</v>
      </c>
      <c r="E23" s="10" t="s">
        <v>32</v>
      </c>
      <c r="F23" s="10" t="s">
        <v>25</v>
      </c>
      <c r="G23" s="10" t="s">
        <v>26</v>
      </c>
      <c r="H23" s="10" t="s">
        <v>27</v>
      </c>
      <c r="I23" s="10" t="s">
        <v>28</v>
      </c>
      <c r="J23" s="10"/>
      <c r="K23" s="137">
        <v>525</v>
      </c>
      <c r="L23" s="134">
        <f>Tableau1[[#This Row],[SPL (SDP)]]*0.87</f>
        <v>456.75</v>
      </c>
      <c r="M23" s="134">
        <v>17.28</v>
      </c>
      <c r="N23" s="163">
        <f>Tableau1[[#This Row],[SPL (SDP)]]*0.63</f>
        <v>330.75</v>
      </c>
      <c r="O23" s="181">
        <v>12.51</v>
      </c>
      <c r="P23" s="10"/>
      <c r="Q23" s="10" t="s">
        <v>37</v>
      </c>
      <c r="R23" s="191">
        <v>0</v>
      </c>
      <c r="S23" s="31" t="str">
        <f>IFERROR(Tableau1[[#This Row],[SUB TERTIAIRE]]/Tableau1[[#This Row],[POSTES DE TRAVAIL]],"")</f>
        <v/>
      </c>
      <c r="T23" s="31" t="str">
        <f>IFERROR(Tableau1[[#This Row],[SUB TERTIAIRE]]/Tableau1[[#This Row],[RESIDENTS]],"")</f>
        <v/>
      </c>
      <c r="U23" s="31">
        <f>Tableau1[[#This Row],[SUN]]/Tableau1[[#This Row],[SUB GENERALE]]</f>
        <v>0.72413793103448276</v>
      </c>
    </row>
    <row r="24" spans="2:21" s="21" customFormat="1" x14ac:dyDescent="0.3">
      <c r="B24" s="10">
        <v>390387</v>
      </c>
      <c r="C24" s="10" t="s">
        <v>50</v>
      </c>
      <c r="D24" s="10" t="s">
        <v>23</v>
      </c>
      <c r="E24" s="10" t="s">
        <v>35</v>
      </c>
      <c r="F24" s="10" t="s">
        <v>25</v>
      </c>
      <c r="G24" s="10" t="s">
        <v>26</v>
      </c>
      <c r="H24" s="10" t="s">
        <v>27</v>
      </c>
      <c r="I24" s="10" t="s">
        <v>28</v>
      </c>
      <c r="J24" s="10"/>
      <c r="K24" s="137">
        <v>213</v>
      </c>
      <c r="L24" s="134">
        <f>Tableau1[[#This Row],[SPL (SDP)]]*0.87</f>
        <v>185.31</v>
      </c>
      <c r="M24" s="134">
        <v>0</v>
      </c>
      <c r="N24" s="163">
        <f>Tableau1[[#This Row],[SPL (SDP)]]*0.63</f>
        <v>134.19</v>
      </c>
      <c r="O24" s="181">
        <v>0</v>
      </c>
      <c r="P24" s="10"/>
      <c r="Q24" s="10" t="s">
        <v>37</v>
      </c>
      <c r="R24" s="191">
        <v>0</v>
      </c>
      <c r="S24" s="31" t="str">
        <f>IFERROR(Tableau1[[#This Row],[SUB TERTIAIRE]]/Tableau1[[#This Row],[POSTES DE TRAVAIL]],"")</f>
        <v/>
      </c>
      <c r="T24" s="31" t="str">
        <f>IFERROR(Tableau1[[#This Row],[SUB TERTIAIRE]]/Tableau1[[#This Row],[RESIDENTS]],"")</f>
        <v/>
      </c>
      <c r="U24" s="31">
        <f>Tableau1[[#This Row],[SUN]]/Tableau1[[#This Row],[SUB GENERALE]]</f>
        <v>0.72413793103448276</v>
      </c>
    </row>
    <row r="25" spans="2:21" s="21" customFormat="1" x14ac:dyDescent="0.3">
      <c r="B25" s="10">
        <v>390388</v>
      </c>
      <c r="C25" s="10" t="s">
        <v>51</v>
      </c>
      <c r="D25" s="10" t="s">
        <v>23</v>
      </c>
      <c r="E25" s="10" t="s">
        <v>35</v>
      </c>
      <c r="F25" s="10" t="s">
        <v>25</v>
      </c>
      <c r="G25" s="10" t="s">
        <v>26</v>
      </c>
      <c r="H25" s="10" t="s">
        <v>27</v>
      </c>
      <c r="I25" s="10" t="s">
        <v>28</v>
      </c>
      <c r="J25" s="10"/>
      <c r="K25" s="137">
        <v>1856</v>
      </c>
      <c r="L25" s="134">
        <f>Tableau1[[#This Row],[SPL (SDP)]]*0.87</f>
        <v>1614.72</v>
      </c>
      <c r="M25" s="134">
        <v>449.49</v>
      </c>
      <c r="N25" s="163">
        <f>Tableau1[[#This Row],[SPL (SDP)]]*0.63</f>
        <v>1169.28</v>
      </c>
      <c r="O25" s="180">
        <v>325.5</v>
      </c>
      <c r="P25" s="10"/>
      <c r="Q25" s="10" t="s">
        <v>37</v>
      </c>
      <c r="R25" s="191">
        <v>116</v>
      </c>
      <c r="S25" s="31">
        <f>IFERROR(Tableau1[[#This Row],[SUB TERTIAIRE]]/Tableau1[[#This Row],[POSTES DE TRAVAIL]],"")</f>
        <v>3.8749137931034485</v>
      </c>
      <c r="T25" s="31" t="str">
        <f>IFERROR(Tableau1[[#This Row],[SUB TERTIAIRE]]/Tableau1[[#This Row],[RESIDENTS]],"")</f>
        <v/>
      </c>
      <c r="U25" s="31">
        <f>Tableau1[[#This Row],[SUN]]/Tableau1[[#This Row],[SUB GENERALE]]</f>
        <v>0.72413793103448276</v>
      </c>
    </row>
    <row r="26" spans="2:21" s="22" customFormat="1" x14ac:dyDescent="0.25">
      <c r="B26" s="11" t="s">
        <v>37</v>
      </c>
      <c r="C26" s="11" t="s">
        <v>52</v>
      </c>
      <c r="D26" s="11" t="s">
        <v>53</v>
      </c>
      <c r="E26" s="11" t="s">
        <v>54</v>
      </c>
      <c r="F26" s="11" t="s">
        <v>25</v>
      </c>
      <c r="G26" s="11" t="s">
        <v>26</v>
      </c>
      <c r="H26" s="11"/>
      <c r="I26" s="11"/>
      <c r="J26" s="11"/>
      <c r="K26" s="138">
        <v>93</v>
      </c>
      <c r="L26" s="134">
        <f>Tableau1[[#This Row],[SPL (SDP)]]*0.87</f>
        <v>80.91</v>
      </c>
      <c r="M26" s="134">
        <v>0</v>
      </c>
      <c r="N26" s="163">
        <f>Tableau1[[#This Row],[SPL (SDP)]]*0.63</f>
        <v>58.59</v>
      </c>
      <c r="O26" s="161">
        <v>0</v>
      </c>
      <c r="P26" s="11"/>
      <c r="Q26" s="11" t="s">
        <v>37</v>
      </c>
      <c r="R26" s="192">
        <v>0</v>
      </c>
      <c r="S26" s="31" t="str">
        <f>IFERROR(Tableau1[[#This Row],[SUB TERTIAIRE]]/Tableau1[[#This Row],[POSTES DE TRAVAIL]],"")</f>
        <v/>
      </c>
      <c r="T26" s="31" t="str">
        <f>IFERROR(Tableau1[[#This Row],[SUB TERTIAIRE]]/Tableau1[[#This Row],[RESIDENTS]],"")</f>
        <v/>
      </c>
      <c r="U26" s="31" t="s">
        <v>37</v>
      </c>
    </row>
    <row r="27" spans="2:21" s="21" customFormat="1" x14ac:dyDescent="0.3">
      <c r="B27" s="10">
        <v>390389</v>
      </c>
      <c r="C27" s="10" t="s">
        <v>55</v>
      </c>
      <c r="D27" s="10" t="s">
        <v>23</v>
      </c>
      <c r="E27" s="10" t="s">
        <v>32</v>
      </c>
      <c r="F27" s="10" t="s">
        <v>25</v>
      </c>
      <c r="G27" s="10" t="s">
        <v>26</v>
      </c>
      <c r="H27" s="10" t="s">
        <v>27</v>
      </c>
      <c r="I27" s="10" t="s">
        <v>28</v>
      </c>
      <c r="J27" s="10"/>
      <c r="K27" s="137">
        <v>5925</v>
      </c>
      <c r="L27" s="134">
        <f>Tableau1[[#This Row],[SPL (SDP)]]*0.87</f>
        <v>5154.75</v>
      </c>
      <c r="M27" s="134">
        <v>1076.98</v>
      </c>
      <c r="N27" s="163">
        <f>Tableau1[[#This Row],[SPL (SDP)]]*0.63</f>
        <v>3732.75</v>
      </c>
      <c r="O27" s="181">
        <v>779.88</v>
      </c>
      <c r="P27" s="10"/>
      <c r="Q27" s="10">
        <v>152</v>
      </c>
      <c r="R27" s="191">
        <v>146</v>
      </c>
      <c r="S27" s="31">
        <f>IFERROR(Tableau1[[#This Row],[SUB TERTIAIRE]]/Tableau1[[#This Row],[POSTES DE TRAVAIL]],"")</f>
        <v>7.3765753424657534</v>
      </c>
      <c r="T27" s="31">
        <f>IFERROR(Tableau1[[#This Row],[SUB TERTIAIRE]]/Tableau1[[#This Row],[RESIDENTS]],"")</f>
        <v>7.0853947368421055</v>
      </c>
      <c r="U27" s="31">
        <f>Tableau1[[#This Row],[SUN]]/Tableau1[[#This Row],[SUB GENERALE]]</f>
        <v>0.72413793103448276</v>
      </c>
    </row>
    <row r="28" spans="2:21" s="21" customFormat="1" x14ac:dyDescent="0.3">
      <c r="B28" s="10">
        <v>390390</v>
      </c>
      <c r="C28" s="10" t="s">
        <v>56</v>
      </c>
      <c r="D28" s="10" t="s">
        <v>57</v>
      </c>
      <c r="E28" s="10" t="s">
        <v>58</v>
      </c>
      <c r="F28" s="10" t="s">
        <v>25</v>
      </c>
      <c r="G28" s="10" t="s">
        <v>26</v>
      </c>
      <c r="H28" s="10" t="s">
        <v>27</v>
      </c>
      <c r="I28" s="10" t="s">
        <v>28</v>
      </c>
      <c r="J28" s="10"/>
      <c r="K28" s="137">
        <v>3929</v>
      </c>
      <c r="L28" s="134">
        <f>Tableau1[[#This Row],[SPL (SDP)]]*0.87</f>
        <v>3418.23</v>
      </c>
      <c r="M28" s="134">
        <v>66.760000000000005</v>
      </c>
      <c r="N28" s="163">
        <f>Tableau1[[#This Row],[SPL (SDP)]]*0.63</f>
        <v>2475.27</v>
      </c>
      <c r="O28" s="181">
        <v>48.35</v>
      </c>
      <c r="P28" s="10"/>
      <c r="Q28" s="10" t="s">
        <v>37</v>
      </c>
      <c r="R28" s="191">
        <v>0</v>
      </c>
      <c r="S28" s="31" t="str">
        <f>IFERROR(Tableau1[[#This Row],[SUB TERTIAIRE]]/Tableau1[[#This Row],[POSTES DE TRAVAIL]],"")</f>
        <v/>
      </c>
      <c r="T28" s="31" t="str">
        <f>IFERROR(Tableau1[[#This Row],[SUB TERTIAIRE]]/Tableau1[[#This Row],[RESIDENTS]],"")</f>
        <v/>
      </c>
      <c r="U28" s="31">
        <f>Tableau1[[#This Row],[SUN]]/Tableau1[[#This Row],[SUB GENERALE]]</f>
        <v>0.72413793103448276</v>
      </c>
    </row>
    <row r="29" spans="2:21" s="21" customFormat="1" x14ac:dyDescent="0.3">
      <c r="B29" s="10">
        <v>390394</v>
      </c>
      <c r="C29" s="10" t="s">
        <v>59</v>
      </c>
      <c r="D29" s="10" t="s">
        <v>23</v>
      </c>
      <c r="E29" s="10" t="s">
        <v>32</v>
      </c>
      <c r="F29" s="10" t="s">
        <v>25</v>
      </c>
      <c r="G29" s="10" t="s">
        <v>26</v>
      </c>
      <c r="H29" s="10" t="s">
        <v>27</v>
      </c>
      <c r="I29" s="10" t="s">
        <v>28</v>
      </c>
      <c r="J29" s="10"/>
      <c r="K29" s="137">
        <v>3905</v>
      </c>
      <c r="L29" s="134">
        <f>Tableau1[[#This Row],[SPL (SDP)]]*0.87</f>
        <v>3397.35</v>
      </c>
      <c r="M29" s="134">
        <v>115.35</v>
      </c>
      <c r="N29" s="163">
        <f>Tableau1[[#This Row],[SPL (SDP)]]*0.63</f>
        <v>2460.15</v>
      </c>
      <c r="O29" s="181">
        <v>83.53</v>
      </c>
      <c r="P29" s="10"/>
      <c r="Q29" s="10">
        <v>225</v>
      </c>
      <c r="R29" s="191">
        <v>166</v>
      </c>
      <c r="S29" s="31">
        <f>IFERROR(Tableau1[[#This Row],[SUB TERTIAIRE]]/Tableau1[[#This Row],[POSTES DE TRAVAIL]],"")</f>
        <v>0.69487951807228909</v>
      </c>
      <c r="T29" s="31">
        <f>IFERROR(Tableau1[[#This Row],[SUB TERTIAIRE]]/Tableau1[[#This Row],[RESIDENTS]],"")</f>
        <v>0.5126666666666666</v>
      </c>
      <c r="U29" s="31">
        <f>Tableau1[[#This Row],[SUN]]/Tableau1[[#This Row],[SUB GENERALE]]</f>
        <v>0.72413793103448276</v>
      </c>
    </row>
    <row r="30" spans="2:21" s="22" customFormat="1" x14ac:dyDescent="0.25">
      <c r="B30" s="8" t="s">
        <v>37</v>
      </c>
      <c r="C30" s="11" t="s">
        <v>60</v>
      </c>
      <c r="D30" s="11" t="s">
        <v>53</v>
      </c>
      <c r="E30" s="11" t="s">
        <v>54</v>
      </c>
      <c r="F30" s="11" t="s">
        <v>25</v>
      </c>
      <c r="G30" s="11" t="s">
        <v>26</v>
      </c>
      <c r="H30" s="11" t="s">
        <v>27</v>
      </c>
      <c r="I30" s="11" t="s">
        <v>28</v>
      </c>
      <c r="J30" s="11"/>
      <c r="K30" s="138">
        <v>0</v>
      </c>
      <c r="L30" s="134">
        <f>Tableau1[[#This Row],[SPL (SDP)]]*0.87</f>
        <v>0</v>
      </c>
      <c r="M30" s="134">
        <v>0</v>
      </c>
      <c r="N30" s="163">
        <f>Tableau1[[#This Row],[SPL (SDP)]]*0.63</f>
        <v>0</v>
      </c>
      <c r="O30" s="161">
        <v>0</v>
      </c>
      <c r="P30" s="11"/>
      <c r="Q30" s="11" t="s">
        <v>37</v>
      </c>
      <c r="R30" s="192">
        <v>0</v>
      </c>
      <c r="S30" s="31" t="str">
        <f>IFERROR(Tableau1[[#This Row],[SUB TERTIAIRE]]/Tableau1[[#This Row],[POSTES DE TRAVAIL]],"")</f>
        <v/>
      </c>
      <c r="T30" s="31" t="str">
        <f>IFERROR(Tableau1[[#This Row],[SUB TERTIAIRE]]/Tableau1[[#This Row],[RESIDENTS]],"")</f>
        <v/>
      </c>
      <c r="U30" s="31" t="s">
        <v>37</v>
      </c>
    </row>
    <row r="31" spans="2:21" s="21" customFormat="1" x14ac:dyDescent="0.3">
      <c r="B31" s="10" t="s">
        <v>37</v>
      </c>
      <c r="C31" s="10" t="s">
        <v>61</v>
      </c>
      <c r="D31" s="10" t="s">
        <v>53</v>
      </c>
      <c r="E31" s="10" t="s">
        <v>54</v>
      </c>
      <c r="F31" s="10" t="s">
        <v>25</v>
      </c>
      <c r="G31" s="10" t="s">
        <v>26</v>
      </c>
      <c r="H31" s="10" t="s">
        <v>27</v>
      </c>
      <c r="I31" s="10" t="s">
        <v>28</v>
      </c>
      <c r="J31" s="10"/>
      <c r="K31" s="138">
        <v>0</v>
      </c>
      <c r="L31" s="134">
        <f>Tableau1[[#This Row],[SPL (SDP)]]*0.87</f>
        <v>0</v>
      </c>
      <c r="M31" s="134">
        <v>0</v>
      </c>
      <c r="N31" s="163">
        <f>Tableau1[[#This Row],[SPL (SDP)]]*0.63</f>
        <v>0</v>
      </c>
      <c r="O31" s="175">
        <v>0</v>
      </c>
      <c r="P31" s="10"/>
      <c r="Q31" s="10" t="s">
        <v>37</v>
      </c>
      <c r="R31" s="191">
        <v>0</v>
      </c>
      <c r="S31" s="31" t="str">
        <f>IFERROR(Tableau1[[#This Row],[SUB TERTIAIRE]]/Tableau1[[#This Row],[POSTES DE TRAVAIL]],"")</f>
        <v/>
      </c>
      <c r="T31" s="31" t="str">
        <f>IFERROR(Tableau1[[#This Row],[SUB TERTIAIRE]]/Tableau1[[#This Row],[RESIDENTS]],"")</f>
        <v/>
      </c>
      <c r="U31" s="10" t="s">
        <v>37</v>
      </c>
    </row>
    <row r="32" spans="2:21" s="21" customFormat="1" x14ac:dyDescent="0.3">
      <c r="B32" s="10" t="s">
        <v>37</v>
      </c>
      <c r="C32" s="10" t="s">
        <v>62</v>
      </c>
      <c r="D32" s="10" t="s">
        <v>23</v>
      </c>
      <c r="E32" s="10" t="s">
        <v>32</v>
      </c>
      <c r="F32" s="10" t="s">
        <v>25</v>
      </c>
      <c r="G32" s="10" t="s">
        <v>26</v>
      </c>
      <c r="H32" s="10" t="s">
        <v>27</v>
      </c>
      <c r="I32" s="10" t="s">
        <v>28</v>
      </c>
      <c r="J32" s="10"/>
      <c r="K32" s="137">
        <v>0</v>
      </c>
      <c r="L32" s="134">
        <f>Tableau1[[#This Row],[SPL (SDP)]]*0.87</f>
        <v>0</v>
      </c>
      <c r="M32" s="134">
        <v>0</v>
      </c>
      <c r="N32" s="163">
        <f>Tableau1[[#This Row],[SPL (SDP)]]*0.63</f>
        <v>0</v>
      </c>
      <c r="O32" s="175"/>
      <c r="P32" s="10"/>
      <c r="Q32" s="10" t="s">
        <v>37</v>
      </c>
      <c r="R32" s="191">
        <v>0</v>
      </c>
      <c r="S32" s="31" t="str">
        <f>IFERROR(Tableau1[[#This Row],[SUB TERTIAIRE]]/Tableau1[[#This Row],[POSTES DE TRAVAIL]],"")</f>
        <v/>
      </c>
      <c r="T32" s="31" t="str">
        <f>IFERROR(Tableau1[[#This Row],[SUB TERTIAIRE]]/Tableau1[[#This Row],[RESIDENTS]],"")</f>
        <v/>
      </c>
      <c r="U32" s="31" t="s">
        <v>37</v>
      </c>
    </row>
    <row r="33" spans="2:21" s="21" customFormat="1" x14ac:dyDescent="0.3">
      <c r="B33" s="10" t="s">
        <v>37</v>
      </c>
      <c r="C33" s="10" t="s">
        <v>63</v>
      </c>
      <c r="D33" s="10" t="s">
        <v>23</v>
      </c>
      <c r="E33" s="10" t="s">
        <v>24</v>
      </c>
      <c r="F33" s="10" t="s">
        <v>25</v>
      </c>
      <c r="G33" s="10" t="s">
        <v>26</v>
      </c>
      <c r="H33" s="10" t="s">
        <v>27</v>
      </c>
      <c r="I33" s="10" t="s">
        <v>28</v>
      </c>
      <c r="J33" s="10"/>
      <c r="K33" s="137">
        <v>107</v>
      </c>
      <c r="L33" s="134">
        <f>Tableau1[[#This Row],[SPL (SDP)]]*0.87</f>
        <v>93.09</v>
      </c>
      <c r="M33" s="205">
        <v>184.84</v>
      </c>
      <c r="N33" s="163">
        <f>Tableau1[[#This Row],[SPL (SDP)]]*0.63</f>
        <v>67.41</v>
      </c>
      <c r="O33" s="175">
        <v>133.93</v>
      </c>
      <c r="P33" s="10"/>
      <c r="Q33" s="10" t="s">
        <v>37</v>
      </c>
      <c r="R33" s="191">
        <v>0</v>
      </c>
      <c r="S33" s="31" t="str">
        <f>IFERROR(Tableau1[[#This Row],[SUB TERTIAIRE]]/Tableau1[[#This Row],[POSTES DE TRAVAIL]],"")</f>
        <v/>
      </c>
      <c r="T33" s="31" t="str">
        <f>IFERROR(Tableau1[[#This Row],[SUB TERTIAIRE]]/Tableau1[[#This Row],[RESIDENTS]],"")</f>
        <v/>
      </c>
      <c r="U33" s="31">
        <f>Tableau1[[#This Row],[SUN]]/Tableau1[[#This Row],[SUB GENERALE]]</f>
        <v>0.72413793103448265</v>
      </c>
    </row>
    <row r="34" spans="2:21" s="21" customFormat="1" x14ac:dyDescent="0.3">
      <c r="B34" s="10" t="s">
        <v>64</v>
      </c>
      <c r="C34" s="10" t="s">
        <v>65</v>
      </c>
      <c r="D34" s="10" t="s">
        <v>66</v>
      </c>
      <c r="E34" s="10" t="s">
        <v>66</v>
      </c>
      <c r="F34" s="10" t="s">
        <v>25</v>
      </c>
      <c r="G34" s="10" t="s">
        <v>26</v>
      </c>
      <c r="H34" s="10" t="s">
        <v>27</v>
      </c>
      <c r="I34" s="10" t="s">
        <v>28</v>
      </c>
      <c r="J34" s="10"/>
      <c r="K34" s="137">
        <v>94</v>
      </c>
      <c r="L34" s="134">
        <f>Tableau1[[#This Row],[SPL (SDP)]]*0.87</f>
        <v>81.78</v>
      </c>
      <c r="M34" s="205">
        <v>63.97</v>
      </c>
      <c r="N34" s="163">
        <f>Tableau1[[#This Row],[SPL (SDP)]]*0.63</f>
        <v>59.22</v>
      </c>
      <c r="O34" s="175">
        <v>46.32</v>
      </c>
      <c r="P34" s="10"/>
      <c r="Q34" s="10"/>
      <c r="R34" s="191">
        <v>2</v>
      </c>
      <c r="S34" s="31">
        <f>IFERROR(Tableau1[[#This Row],[SUB TERTIAIRE]]/Tableau1[[#This Row],[POSTES DE TRAVAIL]],"")</f>
        <v>31.984999999999999</v>
      </c>
      <c r="T34" s="31" t="str">
        <f>IFERROR(Tableau1[[#This Row],[SUB TERTIAIRE]]/Tableau1[[#This Row],[RESIDENTS]],"")</f>
        <v/>
      </c>
      <c r="U34" s="31">
        <f>Tableau1[[#This Row],[SUN]]/Tableau1[[#This Row],[SUB GENERALE]]</f>
        <v>0.72413793103448276</v>
      </c>
    </row>
    <row r="35" spans="2:21" s="21" customFormat="1" x14ac:dyDescent="0.3">
      <c r="B35" s="10">
        <v>394680</v>
      </c>
      <c r="C35" s="10" t="s">
        <v>67</v>
      </c>
      <c r="D35" s="10" t="s">
        <v>66</v>
      </c>
      <c r="E35" s="10" t="s">
        <v>66</v>
      </c>
      <c r="F35" s="10" t="s">
        <v>25</v>
      </c>
      <c r="G35" s="10" t="s">
        <v>26</v>
      </c>
      <c r="H35" s="10" t="s">
        <v>27</v>
      </c>
      <c r="I35" s="10" t="s">
        <v>28</v>
      </c>
      <c r="J35" s="10"/>
      <c r="K35" s="137">
        <v>96</v>
      </c>
      <c r="L35" s="134">
        <f>Tableau1[[#This Row],[SPL (SDP)]]*0.87</f>
        <v>83.52</v>
      </c>
      <c r="M35" s="205">
        <v>0</v>
      </c>
      <c r="N35" s="163">
        <f>Tableau1[[#This Row],[SPL (SDP)]]*0.63</f>
        <v>60.480000000000004</v>
      </c>
      <c r="O35" s="175">
        <v>0</v>
      </c>
      <c r="P35" s="10"/>
      <c r="Q35" s="10" t="s">
        <v>37</v>
      </c>
      <c r="R35" s="191">
        <v>0</v>
      </c>
      <c r="S35" s="31" t="str">
        <f>IFERROR(Tableau1[[#This Row],[SUB TERTIAIRE]]/Tableau1[[#This Row],[POSTES DE TRAVAIL]],"")</f>
        <v/>
      </c>
      <c r="T35" s="31" t="str">
        <f>IFERROR(Tableau1[[#This Row],[SUB TERTIAIRE]]/Tableau1[[#This Row],[RESIDENTS]],"")</f>
        <v/>
      </c>
      <c r="U35" s="31">
        <f>Tableau1[[#This Row],[SUN]]/Tableau1[[#This Row],[SUB GENERALE]]</f>
        <v>0.72413793103448287</v>
      </c>
    </row>
    <row r="36" spans="2:21" s="21" customFormat="1" x14ac:dyDescent="0.3">
      <c r="B36" s="10">
        <v>394681</v>
      </c>
      <c r="C36" s="10" t="s">
        <v>68</v>
      </c>
      <c r="D36" s="10" t="s">
        <v>57</v>
      </c>
      <c r="E36" s="10" t="s">
        <v>57</v>
      </c>
      <c r="F36" s="10" t="s">
        <v>25</v>
      </c>
      <c r="G36" s="10" t="s">
        <v>26</v>
      </c>
      <c r="H36" s="10" t="s">
        <v>27</v>
      </c>
      <c r="I36" s="10" t="s">
        <v>28</v>
      </c>
      <c r="J36" s="10"/>
      <c r="K36" s="137">
        <v>85</v>
      </c>
      <c r="L36" s="134">
        <f>Tableau1[[#This Row],[SPL (SDP)]]*0.87</f>
        <v>73.95</v>
      </c>
      <c r="M36" s="205">
        <v>50.5</v>
      </c>
      <c r="N36" s="163">
        <f>Tableau1[[#This Row],[SPL (SDP)]]*0.63</f>
        <v>53.55</v>
      </c>
      <c r="O36" s="175">
        <v>36.57</v>
      </c>
      <c r="P36" s="10"/>
      <c r="Q36" s="10">
        <v>6</v>
      </c>
      <c r="R36" s="191">
        <v>2</v>
      </c>
      <c r="S36" s="31">
        <f>IFERROR(Tableau1[[#This Row],[SUB TERTIAIRE]]/Tableau1[[#This Row],[POSTES DE TRAVAIL]],"")</f>
        <v>25.25</v>
      </c>
      <c r="T36" s="31">
        <f>IFERROR(Tableau1[[#This Row],[SUB TERTIAIRE]]/Tableau1[[#This Row],[RESIDENTS]],"")</f>
        <v>8.4166666666666661</v>
      </c>
      <c r="U36" s="31">
        <f>Tableau1[[#This Row],[SUN]]/Tableau1[[#This Row],[SUB GENERALE]]</f>
        <v>0.72413793103448265</v>
      </c>
    </row>
    <row r="37" spans="2:21" s="21" customFormat="1" x14ac:dyDescent="0.3">
      <c r="B37" s="10">
        <v>394686</v>
      </c>
      <c r="C37" s="10" t="s">
        <v>69</v>
      </c>
      <c r="D37" s="10" t="s">
        <v>23</v>
      </c>
      <c r="E37" s="10" t="s">
        <v>70</v>
      </c>
      <c r="F37" s="10"/>
      <c r="G37" s="10" t="s">
        <v>26</v>
      </c>
      <c r="H37" s="10" t="s">
        <v>71</v>
      </c>
      <c r="I37" s="10" t="s">
        <v>72</v>
      </c>
      <c r="J37" s="10"/>
      <c r="K37" s="137">
        <v>107</v>
      </c>
      <c r="L37" s="134">
        <f>Tableau1[[#This Row],[SPL (SDP)]]*0.87</f>
        <v>93.09</v>
      </c>
      <c r="M37" s="205">
        <v>70.61</v>
      </c>
      <c r="N37" s="163">
        <f>Tableau1[[#This Row],[SPL (SDP)]]*0.63</f>
        <v>67.41</v>
      </c>
      <c r="O37" s="175">
        <v>51.13</v>
      </c>
      <c r="P37" s="10"/>
      <c r="Q37" s="10" t="s">
        <v>37</v>
      </c>
      <c r="R37" s="191">
        <v>0</v>
      </c>
      <c r="S37" s="31" t="str">
        <f>IFERROR(Tableau1[[#This Row],[SUB TERTIAIRE]]/Tableau1[[#This Row],[POSTES DE TRAVAIL]],"")</f>
        <v/>
      </c>
      <c r="T37" s="31" t="str">
        <f>IFERROR(Tableau1[[#This Row],[SUB TERTIAIRE]]/Tableau1[[#This Row],[RESIDENTS]],"")</f>
        <v/>
      </c>
      <c r="U37" s="31">
        <f>Tableau1[[#This Row],[SUN]]/Tableau1[[#This Row],[SUB GENERALE]]</f>
        <v>0.72413793103448265</v>
      </c>
    </row>
    <row r="38" spans="2:21" s="21" customFormat="1" x14ac:dyDescent="0.3">
      <c r="B38" s="10">
        <v>394687</v>
      </c>
      <c r="C38" s="10" t="s">
        <v>73</v>
      </c>
      <c r="D38" s="10" t="s">
        <v>66</v>
      </c>
      <c r="E38" s="10" t="s">
        <v>66</v>
      </c>
      <c r="F38" s="10" t="s">
        <v>25</v>
      </c>
      <c r="G38" s="10" t="s">
        <v>26</v>
      </c>
      <c r="H38" s="10" t="s">
        <v>74</v>
      </c>
      <c r="I38" s="10" t="s">
        <v>75</v>
      </c>
      <c r="J38" s="10"/>
      <c r="K38" s="137">
        <v>409</v>
      </c>
      <c r="L38" s="134">
        <f>Tableau1[[#This Row],[SPL (SDP)]]*0.87</f>
        <v>355.83</v>
      </c>
      <c r="M38" s="205">
        <v>159.04</v>
      </c>
      <c r="N38" s="163">
        <f>Tableau1[[#This Row],[SPL (SDP)]]*0.63</f>
        <v>257.67</v>
      </c>
      <c r="O38" s="175">
        <v>115.17</v>
      </c>
      <c r="P38" s="10"/>
      <c r="Q38" s="10">
        <v>29</v>
      </c>
      <c r="R38" s="191">
        <v>27</v>
      </c>
      <c r="S38" s="31">
        <f>IFERROR(Tableau1[[#This Row],[SUB TERTIAIRE]]/Tableau1[[#This Row],[POSTES DE TRAVAIL]],"")</f>
        <v>5.8903703703703698</v>
      </c>
      <c r="T38" s="31">
        <f>IFERROR(Tableau1[[#This Row],[SUB TERTIAIRE]]/Tableau1[[#This Row],[RESIDENTS]],"")</f>
        <v>5.4841379310344829</v>
      </c>
      <c r="U38" s="31">
        <f>Tableau1[[#This Row],[SUN]]/Tableau1[[#This Row],[SUB GENERALE]]</f>
        <v>0.72413793103448287</v>
      </c>
    </row>
    <row r="39" spans="2:21" s="21" customFormat="1" x14ac:dyDescent="0.3">
      <c r="B39" s="10">
        <v>394689</v>
      </c>
      <c r="C39" s="10" t="s">
        <v>76</v>
      </c>
      <c r="D39" s="10" t="s">
        <v>53</v>
      </c>
      <c r="E39" s="10" t="s">
        <v>54</v>
      </c>
      <c r="F39" s="10" t="s">
        <v>25</v>
      </c>
      <c r="G39" s="10" t="s">
        <v>26</v>
      </c>
      <c r="H39" s="10" t="s">
        <v>77</v>
      </c>
      <c r="I39" s="10" t="s">
        <v>78</v>
      </c>
      <c r="J39" s="10"/>
      <c r="K39" s="137">
        <v>294</v>
      </c>
      <c r="L39" s="134">
        <f>Tableau1[[#This Row],[SPL (SDP)]]*0.87</f>
        <v>255.78</v>
      </c>
      <c r="M39" s="205">
        <v>81.95</v>
      </c>
      <c r="N39" s="163">
        <f>Tableau1[[#This Row],[SPL (SDP)]]*0.63</f>
        <v>185.22</v>
      </c>
      <c r="O39" s="175">
        <v>59.34</v>
      </c>
      <c r="P39" s="10"/>
      <c r="Q39" s="10">
        <v>23</v>
      </c>
      <c r="R39" s="191">
        <v>16</v>
      </c>
      <c r="S39" s="31">
        <f>IFERROR(Tableau1[[#This Row],[SUB TERTIAIRE]]/Tableau1[[#This Row],[POSTES DE TRAVAIL]],"")</f>
        <v>5.1218750000000002</v>
      </c>
      <c r="T39" s="31">
        <f>IFERROR(Tableau1[[#This Row],[SUB TERTIAIRE]]/Tableau1[[#This Row],[RESIDENTS]],"")</f>
        <v>3.5630434782608695</v>
      </c>
      <c r="U39" s="31" t="s">
        <v>37</v>
      </c>
    </row>
    <row r="40" spans="2:21" s="22" customFormat="1" x14ac:dyDescent="0.25">
      <c r="B40" s="11">
        <v>394683</v>
      </c>
      <c r="C40" s="11" t="s">
        <v>79</v>
      </c>
      <c r="D40" s="11" t="s">
        <v>53</v>
      </c>
      <c r="E40" s="11" t="s">
        <v>54</v>
      </c>
      <c r="F40" s="11" t="s">
        <v>25</v>
      </c>
      <c r="G40" s="11" t="s">
        <v>26</v>
      </c>
      <c r="H40" s="11" t="s">
        <v>27</v>
      </c>
      <c r="I40" s="11" t="s">
        <v>28</v>
      </c>
      <c r="J40" s="11"/>
      <c r="K40" s="138">
        <v>0</v>
      </c>
      <c r="L40" s="134">
        <f>Tableau1[[#This Row],[SPL (SDP)]]*0.87</f>
        <v>0</v>
      </c>
      <c r="M40" s="206">
        <v>0</v>
      </c>
      <c r="N40" s="163">
        <f>Tableau1[[#This Row],[SPL (SDP)]]*0.63</f>
        <v>0</v>
      </c>
      <c r="O40" s="190">
        <v>0</v>
      </c>
      <c r="P40" s="11"/>
      <c r="Q40" s="11" t="s">
        <v>37</v>
      </c>
      <c r="R40" s="192">
        <v>0</v>
      </c>
      <c r="S40" s="31" t="str">
        <f>IFERROR(Tableau1[[#This Row],[SUB TERTIAIRE]]/Tableau1[[#This Row],[POSTES DE TRAVAIL]],"")</f>
        <v/>
      </c>
      <c r="T40" s="31" t="str">
        <f>IFERROR(Tableau1[[#This Row],[SUB TERTIAIRE]]/Tableau1[[#This Row],[RESIDENTS]],"")</f>
        <v/>
      </c>
      <c r="U40" s="31" t="s">
        <v>37</v>
      </c>
    </row>
    <row r="41" spans="2:21" s="21" customFormat="1" x14ac:dyDescent="0.3">
      <c r="B41" s="10">
        <v>394689</v>
      </c>
      <c r="C41" s="10" t="s">
        <v>80</v>
      </c>
      <c r="D41" s="10" t="s">
        <v>57</v>
      </c>
      <c r="E41" s="10" t="s">
        <v>57</v>
      </c>
      <c r="F41" s="10" t="s">
        <v>25</v>
      </c>
      <c r="G41" s="10" t="s">
        <v>26</v>
      </c>
      <c r="H41" s="10" t="s">
        <v>27</v>
      </c>
      <c r="I41" s="10" t="s">
        <v>28</v>
      </c>
      <c r="J41" s="10"/>
      <c r="K41" s="137">
        <v>0</v>
      </c>
      <c r="L41" s="134">
        <f>Tableau1[[#This Row],[SPL (SDP)]]*0.87</f>
        <v>0</v>
      </c>
      <c r="M41" s="205">
        <v>0</v>
      </c>
      <c r="N41" s="163">
        <f>Tableau1[[#This Row],[SPL (SDP)]]*0.63</f>
        <v>0</v>
      </c>
      <c r="O41" s="175">
        <v>0</v>
      </c>
      <c r="P41" s="10"/>
      <c r="Q41" s="10" t="s">
        <v>37</v>
      </c>
      <c r="R41" s="191">
        <v>0</v>
      </c>
      <c r="S41" s="31" t="str">
        <f>IFERROR(Tableau1[[#This Row],[SUB TERTIAIRE]]/Tableau1[[#This Row],[POSTES DE TRAVAIL]],"")</f>
        <v/>
      </c>
      <c r="T41" s="31" t="str">
        <f>IFERROR(Tableau1[[#This Row],[SUB TERTIAIRE]]/Tableau1[[#This Row],[RESIDENTS]],"")</f>
        <v/>
      </c>
      <c r="U41" s="31" t="s">
        <v>37</v>
      </c>
    </row>
    <row r="42" spans="2:21" s="21" customFormat="1" x14ac:dyDescent="0.3">
      <c r="B42" s="10">
        <v>394691</v>
      </c>
      <c r="C42" s="10" t="s">
        <v>81</v>
      </c>
      <c r="D42" s="10" t="s">
        <v>53</v>
      </c>
      <c r="E42" s="10" t="s">
        <v>54</v>
      </c>
      <c r="F42" s="10" t="s">
        <v>25</v>
      </c>
      <c r="G42" s="10" t="s">
        <v>26</v>
      </c>
      <c r="H42" s="10" t="s">
        <v>27</v>
      </c>
      <c r="I42" s="10" t="s">
        <v>28</v>
      </c>
      <c r="J42" s="10"/>
      <c r="K42" s="137">
        <v>281</v>
      </c>
      <c r="L42" s="134">
        <f>Tableau1[[#This Row],[SPL (SDP)]]*0.87</f>
        <v>244.47</v>
      </c>
      <c r="M42" s="205">
        <v>98.42</v>
      </c>
      <c r="N42" s="163">
        <f>Tableau1[[#This Row],[SPL (SDP)]]*0.63</f>
        <v>177.03</v>
      </c>
      <c r="O42" s="175">
        <v>71.27</v>
      </c>
      <c r="P42" s="10"/>
      <c r="Q42" s="10">
        <v>0</v>
      </c>
      <c r="R42" s="191">
        <v>2</v>
      </c>
      <c r="S42" s="31">
        <f>IFERROR(Tableau1[[#This Row],[SUB TERTIAIRE]]/Tableau1[[#This Row],[POSTES DE TRAVAIL]],"")</f>
        <v>49.21</v>
      </c>
      <c r="T42" s="31" t="str">
        <f>IFERROR(Tableau1[[#This Row],[SUB TERTIAIRE]]/Tableau1[[#This Row],[RESIDENTS]],"")</f>
        <v/>
      </c>
      <c r="U42" s="31">
        <f>Tableau1[[#This Row],[SUN]]/Tableau1[[#This Row],[SUB GENERALE]]</f>
        <v>0.72413793103448276</v>
      </c>
    </row>
    <row r="43" spans="2:21" s="21" customFormat="1" x14ac:dyDescent="0.3">
      <c r="B43" s="10">
        <v>394679</v>
      </c>
      <c r="C43" s="10" t="s">
        <v>82</v>
      </c>
      <c r="D43" s="10" t="s">
        <v>23</v>
      </c>
      <c r="E43" s="10" t="s">
        <v>32</v>
      </c>
      <c r="F43" s="10" t="s">
        <v>25</v>
      </c>
      <c r="G43" s="10" t="s">
        <v>26</v>
      </c>
      <c r="H43" s="10" t="s">
        <v>27</v>
      </c>
      <c r="I43" s="10" t="s">
        <v>28</v>
      </c>
      <c r="J43" s="10"/>
      <c r="K43" s="137">
        <v>0</v>
      </c>
      <c r="L43" s="134">
        <f>Tableau1[[#This Row],[SPL (SDP)]]*0.87</f>
        <v>0</v>
      </c>
      <c r="M43" s="205">
        <v>0</v>
      </c>
      <c r="N43" s="163">
        <f>Tableau1[[#This Row],[SPL (SDP)]]*0.63</f>
        <v>0</v>
      </c>
      <c r="O43" s="175">
        <v>0</v>
      </c>
      <c r="P43" s="10"/>
      <c r="Q43" s="10" t="s">
        <v>37</v>
      </c>
      <c r="R43" s="191">
        <v>0</v>
      </c>
      <c r="S43" s="31" t="str">
        <f>IFERROR(Tableau1[[#This Row],[SUB TERTIAIRE]]/Tableau1[[#This Row],[POSTES DE TRAVAIL]],"")</f>
        <v/>
      </c>
      <c r="T43" s="31" t="str">
        <f>IFERROR(Tableau1[[#This Row],[SUB TERTIAIRE]]/Tableau1[[#This Row],[RESIDENTS]],"")</f>
        <v/>
      </c>
      <c r="U43" s="31" t="s">
        <v>37</v>
      </c>
    </row>
    <row r="44" spans="2:21" s="21" customFormat="1" x14ac:dyDescent="0.3">
      <c r="B44" s="10" t="s">
        <v>37</v>
      </c>
      <c r="C44" s="10" t="s">
        <v>83</v>
      </c>
      <c r="D44" s="10" t="s">
        <v>23</v>
      </c>
      <c r="E44" s="10" t="s">
        <v>32</v>
      </c>
      <c r="F44" s="10" t="s">
        <v>25</v>
      </c>
      <c r="G44" s="10" t="s">
        <v>26</v>
      </c>
      <c r="H44" s="10" t="s">
        <v>27</v>
      </c>
      <c r="I44" s="10" t="s">
        <v>28</v>
      </c>
      <c r="J44" s="10"/>
      <c r="K44" s="137">
        <v>0</v>
      </c>
      <c r="L44" s="134">
        <f>Tableau1[[#This Row],[SPL (SDP)]]*0.87</f>
        <v>0</v>
      </c>
      <c r="M44" s="205">
        <v>0</v>
      </c>
      <c r="N44" s="163">
        <f>Tableau1[[#This Row],[SPL (SDP)]]*0.63</f>
        <v>0</v>
      </c>
      <c r="O44" s="175">
        <v>0</v>
      </c>
      <c r="P44" s="10"/>
      <c r="Q44" s="10" t="s">
        <v>37</v>
      </c>
      <c r="R44" s="191">
        <v>0</v>
      </c>
      <c r="S44" s="31" t="str">
        <f>IFERROR(Tableau1[[#This Row],[SUB TERTIAIRE]]/Tableau1[[#This Row],[POSTES DE TRAVAIL]],"")</f>
        <v/>
      </c>
      <c r="T44" s="31" t="str">
        <f>IFERROR(Tableau1[[#This Row],[SUB TERTIAIRE]]/Tableau1[[#This Row],[RESIDENTS]],"")</f>
        <v/>
      </c>
      <c r="U44" s="31" t="s">
        <v>37</v>
      </c>
    </row>
    <row r="45" spans="2:21" s="21" customFormat="1" x14ac:dyDescent="0.3">
      <c r="B45" s="10"/>
      <c r="C45" s="10" t="s">
        <v>84</v>
      </c>
      <c r="D45" s="10"/>
      <c r="E45" s="10"/>
      <c r="F45" s="10"/>
      <c r="G45" s="10"/>
      <c r="H45" s="10"/>
      <c r="I45" s="10"/>
      <c r="J45" s="10"/>
      <c r="K45" s="137">
        <v>488</v>
      </c>
      <c r="L45" s="134">
        <f>Tableau1[[#This Row],[SPL (SDP)]]*0.87</f>
        <v>424.56</v>
      </c>
      <c r="M45" s="207">
        <v>225.36</v>
      </c>
      <c r="N45" s="163">
        <f>Tableau1[[#This Row],[SPL (SDP)]]*0.63</f>
        <v>307.44</v>
      </c>
      <c r="O45" s="175">
        <v>226.35</v>
      </c>
      <c r="P45" s="10"/>
      <c r="Q45" s="10">
        <v>14</v>
      </c>
      <c r="R45" s="10">
        <v>14</v>
      </c>
      <c r="S45" s="31">
        <f>IFERROR(Tableau1[[#This Row],[SUB TERTIAIRE]]/Tableau1[[#This Row],[POSTES DE TRAVAIL]],"")</f>
        <v>16.09714285714286</v>
      </c>
      <c r="T45" s="31">
        <f>IFERROR(Tableau1[[#This Row],[SUB TERTIAIRE]]/Tableau1[[#This Row],[RESIDENTS]],"")</f>
        <v>16.09714285714286</v>
      </c>
      <c r="U45" s="31">
        <f>Tableau1[[#This Row],[SUN]]/Tableau1[[#This Row],[SUB GENERALE]]</f>
        <v>0.72413793103448276</v>
      </c>
    </row>
    <row r="46" spans="2:21" s="23" customFormat="1" ht="21" customHeight="1" thickBot="1" x14ac:dyDescent="0.35">
      <c r="B46" s="38" t="s">
        <v>85</v>
      </c>
      <c r="C46" s="38"/>
      <c r="D46" s="38"/>
      <c r="E46" s="38"/>
      <c r="F46" s="39"/>
      <c r="G46" s="38"/>
      <c r="H46" s="38"/>
      <c r="I46" s="38"/>
      <c r="J46" s="38"/>
      <c r="K46" s="139">
        <f>SUBTOTAL(9,K6:K45)</f>
        <v>54112</v>
      </c>
      <c r="L46" s="139">
        <f>SUBTOTAL(9,L6:L44)</f>
        <v>46652.87999999999</v>
      </c>
      <c r="M46" s="139">
        <f>SUBTOTAL(9,M6:M44)</f>
        <v>8164.2999999999975</v>
      </c>
      <c r="N46" s="139">
        <f t="shared" ref="N46" si="0">SUBTOTAL(9,N6:N44)</f>
        <v>33783.12000000001</v>
      </c>
      <c r="O46" s="139">
        <f>SUBTOTAL(9,O6:O44)</f>
        <v>5912.1400000000012</v>
      </c>
      <c r="P46" s="38">
        <f>SUBTOTAL(9,P6:P44)</f>
        <v>0</v>
      </c>
      <c r="Q46" s="38">
        <f>SUBTOTAL(9,Q6:Q45)</f>
        <v>1284</v>
      </c>
      <c r="R46" s="38">
        <f>SUBTOTAL(9,R6:R45)</f>
        <v>1462</v>
      </c>
      <c r="S46" s="40">
        <f>IFERROR(Tableau1[[#This Row],[SUB TERTIAIRE]]/Tableau1[[#This Row],[POSTES DE TRAVAIL]],"")</f>
        <v>5.5843365253077959</v>
      </c>
      <c r="T46" s="40">
        <f>IFERROR(Tableau1[[#This Row],[SUB TERTIAIRE]]/Tableau1[[#This Row],[RESIDENTS]],"")</f>
        <v>6.3584890965732068</v>
      </c>
      <c r="U46" s="41">
        <f>IFERROR(Tableau1[[#This Row],[SUN]]/Tableau1[[#This Row],[SUB GENERALE]],"")</f>
        <v>0.7241379310344831</v>
      </c>
    </row>
    <row r="47" spans="2:21" s="21" customFormat="1" ht="24.75" customHeight="1" thickTop="1" x14ac:dyDescent="0.3">
      <c r="B47" s="10" t="s">
        <v>86</v>
      </c>
      <c r="C47" s="10" t="s">
        <v>87</v>
      </c>
      <c r="D47" s="10" t="s">
        <v>23</v>
      </c>
      <c r="E47" s="10" t="s">
        <v>32</v>
      </c>
      <c r="F47" s="10" t="s">
        <v>25</v>
      </c>
      <c r="G47" s="10" t="s">
        <v>26</v>
      </c>
      <c r="H47" s="10" t="s">
        <v>88</v>
      </c>
      <c r="I47" s="10" t="s">
        <v>89</v>
      </c>
      <c r="J47" s="10"/>
      <c r="K47" s="137">
        <v>11907</v>
      </c>
      <c r="L47" s="134">
        <f>Tableau1[[#This Row],[SPL (SDP)]]*0.87</f>
        <v>10359.09</v>
      </c>
      <c r="M47" s="134">
        <v>1077.6300000000001</v>
      </c>
      <c r="N47" s="134">
        <f>Tableau1[[#This Row],[SPL (SDP)]]*0.63</f>
        <v>7501.41</v>
      </c>
      <c r="O47" s="180">
        <v>780.35</v>
      </c>
      <c r="P47" s="10"/>
      <c r="Q47" s="10">
        <v>107</v>
      </c>
      <c r="R47" s="191">
        <v>266</v>
      </c>
      <c r="S47" s="31">
        <f>IFERROR(Tableau1[[#This Row],[SUB TERTIAIRE]]/Tableau1[[#This Row],[POSTES DE TRAVAIL]],"")</f>
        <v>4.0512406015037596</v>
      </c>
      <c r="T47" s="31">
        <f>IFERROR(Tableau1[[#This Row],[SUB TERTIAIRE]]/Tableau1[[#This Row],[RESIDENTS]],"")</f>
        <v>10.071308411214954</v>
      </c>
      <c r="U47" s="31">
        <f>Tableau1[[#This Row],[SUN]]/Tableau1[[#This Row],[SUB GENERALE]]</f>
        <v>0.72413793103448276</v>
      </c>
    </row>
    <row r="48" spans="2:21" s="21" customFormat="1" ht="28.8" x14ac:dyDescent="0.3">
      <c r="B48" s="10" t="s">
        <v>90</v>
      </c>
      <c r="C48" s="10" t="s">
        <v>91</v>
      </c>
      <c r="D48" s="10" t="s">
        <v>23</v>
      </c>
      <c r="E48" s="10" t="s">
        <v>32</v>
      </c>
      <c r="F48" s="10" t="s">
        <v>25</v>
      </c>
      <c r="G48" s="10" t="s">
        <v>26</v>
      </c>
      <c r="H48" s="10" t="s">
        <v>88</v>
      </c>
      <c r="I48" s="10" t="s">
        <v>89</v>
      </c>
      <c r="J48" s="10"/>
      <c r="K48" s="137">
        <v>7318</v>
      </c>
      <c r="L48" s="134">
        <f>Tableau1[[#This Row],[SPL (SDP)]]*0.87</f>
        <v>6366.66</v>
      </c>
      <c r="M48" s="134">
        <v>119.4</v>
      </c>
      <c r="N48" s="134">
        <f>Tableau1[[#This Row],[SPL (SDP)]]*0.63</f>
        <v>4610.34</v>
      </c>
      <c r="O48" s="180">
        <v>86.46</v>
      </c>
      <c r="P48" s="10"/>
      <c r="Q48" s="10" t="s">
        <v>37</v>
      </c>
      <c r="R48" s="191">
        <v>24</v>
      </c>
      <c r="S48" s="31">
        <f>IFERROR(Tableau1[[#This Row],[SUB TERTIAIRE]]/Tableau1[[#This Row],[POSTES DE TRAVAIL]],"")</f>
        <v>4.9750000000000005</v>
      </c>
      <c r="T48" s="31" t="str">
        <f>IFERROR(Tableau1[[#This Row],[SUB TERTIAIRE]]/Tableau1[[#This Row],[RESIDENTS]],"")</f>
        <v/>
      </c>
      <c r="U48" s="31">
        <f>Tableau1[[#This Row],[SUN]]/Tableau1[[#This Row],[SUB GENERALE]]</f>
        <v>0.72413793103448276</v>
      </c>
    </row>
    <row r="49" spans="2:26" s="21" customFormat="1" ht="24.75" customHeight="1" x14ac:dyDescent="0.3">
      <c r="B49" s="10">
        <v>390506</v>
      </c>
      <c r="C49" s="10" t="s">
        <v>29</v>
      </c>
      <c r="D49" s="10" t="s">
        <v>23</v>
      </c>
      <c r="E49" s="10" t="s">
        <v>30</v>
      </c>
      <c r="F49" s="10" t="s">
        <v>25</v>
      </c>
      <c r="G49" s="10" t="s">
        <v>26</v>
      </c>
      <c r="H49" s="10" t="s">
        <v>88</v>
      </c>
      <c r="I49" s="10" t="s">
        <v>89</v>
      </c>
      <c r="J49" s="10"/>
      <c r="K49" s="137">
        <v>4688</v>
      </c>
      <c r="L49" s="134">
        <f>Tableau1[[#This Row],[SPL (SDP)]]*0.87</f>
        <v>4078.56</v>
      </c>
      <c r="M49" s="134">
        <v>254.67</v>
      </c>
      <c r="N49" s="134">
        <f>Tableau1[[#This Row],[SPL (SDP)]]*0.63</f>
        <v>2953.44</v>
      </c>
      <c r="O49" s="180">
        <v>184.41</v>
      </c>
      <c r="P49" s="10"/>
      <c r="Q49" s="10">
        <v>25</v>
      </c>
      <c r="R49" s="191">
        <v>50</v>
      </c>
      <c r="S49" s="31">
        <f>IFERROR(Tableau1[[#This Row],[SUB TERTIAIRE]]/Tableau1[[#This Row],[POSTES DE TRAVAIL]],"")</f>
        <v>5.0933999999999999</v>
      </c>
      <c r="T49" s="31">
        <f>IFERROR(Tableau1[[#This Row],[SUB TERTIAIRE]]/Tableau1[[#This Row],[RESIDENTS]],"")</f>
        <v>10.1868</v>
      </c>
      <c r="U49" s="31">
        <f>Tableau1[[#This Row],[SUN]]/Tableau1[[#This Row],[SUB GENERALE]]</f>
        <v>0.72413793103448276</v>
      </c>
    </row>
    <row r="50" spans="2:26" s="21" customFormat="1" ht="24.75" customHeight="1" x14ac:dyDescent="0.3">
      <c r="B50" s="10">
        <v>390511</v>
      </c>
      <c r="C50" s="10" t="s">
        <v>92</v>
      </c>
      <c r="D50" s="10" t="s">
        <v>57</v>
      </c>
      <c r="E50" s="10" t="s">
        <v>58</v>
      </c>
      <c r="F50" s="10" t="s">
        <v>25</v>
      </c>
      <c r="G50" s="10" t="s">
        <v>26</v>
      </c>
      <c r="H50" s="10" t="s">
        <v>88</v>
      </c>
      <c r="I50" s="10" t="s">
        <v>89</v>
      </c>
      <c r="J50" s="10"/>
      <c r="K50" s="137">
        <v>3563</v>
      </c>
      <c r="L50" s="134">
        <f>Tableau1[[#This Row],[SPL (SDP)]]*0.87</f>
        <v>3099.81</v>
      </c>
      <c r="M50" s="134">
        <v>32.67</v>
      </c>
      <c r="N50" s="134">
        <f>Tableau1[[#This Row],[SPL (SDP)]]*0.63</f>
        <v>2244.69</v>
      </c>
      <c r="O50" s="181">
        <v>23.66</v>
      </c>
      <c r="P50" s="10"/>
      <c r="Q50" s="10">
        <v>3</v>
      </c>
      <c r="R50" s="191">
        <v>3</v>
      </c>
      <c r="S50" s="31">
        <f>IFERROR(Tableau1[[#This Row],[SUB TERTIAIRE]]/Tableau1[[#This Row],[POSTES DE TRAVAIL]],"")</f>
        <v>10.89</v>
      </c>
      <c r="T50" s="31">
        <f>IFERROR(Tableau1[[#This Row],[SUB TERTIAIRE]]/Tableau1[[#This Row],[RESIDENTS]],"")</f>
        <v>10.89</v>
      </c>
      <c r="U50" s="31">
        <f>Tableau1[[#This Row],[SUN]]/Tableau1[[#This Row],[SUB GENERALE]]</f>
        <v>0.72413793103448276</v>
      </c>
    </row>
    <row r="51" spans="2:26" s="21" customFormat="1" ht="24.75" customHeight="1" x14ac:dyDescent="0.3">
      <c r="B51" s="10">
        <v>390509</v>
      </c>
      <c r="C51" s="10" t="s">
        <v>93</v>
      </c>
      <c r="D51" s="10" t="s">
        <v>23</v>
      </c>
      <c r="E51" s="10" t="s">
        <v>32</v>
      </c>
      <c r="F51" s="10" t="s">
        <v>25</v>
      </c>
      <c r="G51" s="10" t="s">
        <v>26</v>
      </c>
      <c r="H51" s="10" t="s">
        <v>88</v>
      </c>
      <c r="I51" s="10" t="s">
        <v>89</v>
      </c>
      <c r="J51" s="10"/>
      <c r="K51" s="137">
        <v>3973</v>
      </c>
      <c r="L51" s="134">
        <f>Tableau1[[#This Row],[SPL (SDP)]]*0.87</f>
        <v>3456.5099999999998</v>
      </c>
      <c r="M51" s="134">
        <v>431.23</v>
      </c>
      <c r="N51" s="134">
        <f>Tableau1[[#This Row],[SPL (SDP)]]*0.63</f>
        <v>2502.9900000000002</v>
      </c>
      <c r="O51" s="180">
        <v>312.27</v>
      </c>
      <c r="P51" s="10"/>
      <c r="Q51" s="10">
        <v>40</v>
      </c>
      <c r="R51" s="191">
        <v>85</v>
      </c>
      <c r="S51" s="31">
        <f>IFERROR(Tableau1[[#This Row],[SUB TERTIAIRE]]/Tableau1[[#This Row],[POSTES DE TRAVAIL]],"")</f>
        <v>5.073294117647059</v>
      </c>
      <c r="T51" s="31">
        <f>IFERROR(Tableau1[[#This Row],[SUB TERTIAIRE]]/Tableau1[[#This Row],[RESIDENTS]],"")</f>
        <v>10.780750000000001</v>
      </c>
      <c r="U51" s="31">
        <f>Tableau1[[#This Row],[SUN]]/Tableau1[[#This Row],[SUB GENERALE]]</f>
        <v>0.72413793103448287</v>
      </c>
    </row>
    <row r="52" spans="2:26" s="21" customFormat="1" ht="24.75" customHeight="1" x14ac:dyDescent="0.3">
      <c r="B52" s="10" t="s">
        <v>64</v>
      </c>
      <c r="C52" s="10" t="s">
        <v>94</v>
      </c>
      <c r="D52" s="10"/>
      <c r="E52" s="10"/>
      <c r="F52" s="10" t="s">
        <v>25</v>
      </c>
      <c r="G52" s="10" t="s">
        <v>26</v>
      </c>
      <c r="H52" s="10" t="s">
        <v>88</v>
      </c>
      <c r="I52" s="10" t="s">
        <v>89</v>
      </c>
      <c r="J52" s="10"/>
      <c r="K52" s="137">
        <v>0</v>
      </c>
      <c r="L52" s="134">
        <f>Tableau1[[#This Row],[SPL (SDP)]]*0.87</f>
        <v>0</v>
      </c>
      <c r="M52" s="134">
        <v>0</v>
      </c>
      <c r="N52" s="134">
        <f>Tableau1[[#This Row],[SPL (SDP)]]*0.63</f>
        <v>0</v>
      </c>
      <c r="O52" s="181">
        <v>0</v>
      </c>
      <c r="P52" s="10">
        <v>3323</v>
      </c>
      <c r="Q52" s="10" t="s">
        <v>37</v>
      </c>
      <c r="R52" s="191">
        <v>0</v>
      </c>
      <c r="S52" s="31" t="str">
        <f>IFERROR(Tableau1[[#This Row],[SUB TERTIAIRE]]/Tableau1[[#This Row],[POSTES DE TRAVAIL]],"")</f>
        <v/>
      </c>
      <c r="T52" s="31" t="str">
        <f>IFERROR(Tableau1[[#This Row],[SUB TERTIAIRE]]/Tableau1[[#This Row],[RESIDENTS]],"")</f>
        <v/>
      </c>
      <c r="U52" s="31" t="s">
        <v>37</v>
      </c>
    </row>
    <row r="53" spans="2:26" s="21" customFormat="1" ht="24.75" customHeight="1" x14ac:dyDescent="0.3">
      <c r="B53" s="10" t="s">
        <v>64</v>
      </c>
      <c r="C53" s="10" t="s">
        <v>95</v>
      </c>
      <c r="D53" s="10"/>
      <c r="E53" s="10"/>
      <c r="F53" s="10" t="s">
        <v>25</v>
      </c>
      <c r="G53" s="10" t="s">
        <v>26</v>
      </c>
      <c r="H53" s="10" t="s">
        <v>88</v>
      </c>
      <c r="I53" s="10" t="s">
        <v>89</v>
      </c>
      <c r="J53" s="10"/>
      <c r="K53" s="137">
        <v>6367</v>
      </c>
      <c r="L53" s="134">
        <f>Tableau1[[#This Row],[SPL (SDP)]]*0.87</f>
        <v>5539.29</v>
      </c>
      <c r="M53" s="134">
        <v>0</v>
      </c>
      <c r="N53" s="134">
        <f>Tableau1[[#This Row],[SPL (SDP)]]*0.63</f>
        <v>4011.21</v>
      </c>
      <c r="O53" s="181">
        <v>0</v>
      </c>
      <c r="P53" s="10"/>
      <c r="Q53" s="10" t="s">
        <v>37</v>
      </c>
      <c r="R53" s="191">
        <v>0</v>
      </c>
      <c r="S53" s="31" t="str">
        <f>IFERROR(Tableau1[[#This Row],[SUB TERTIAIRE]]/Tableau1[[#This Row],[POSTES DE TRAVAIL]],"")</f>
        <v/>
      </c>
      <c r="T53" s="31" t="str">
        <f>IFERROR(Tableau1[[#This Row],[SUB TERTIAIRE]]/Tableau1[[#This Row],[RESIDENTS]],"")</f>
        <v/>
      </c>
      <c r="U53" s="31" t="s">
        <v>37</v>
      </c>
    </row>
    <row r="54" spans="2:26" s="21" customFormat="1" ht="24.75" customHeight="1" x14ac:dyDescent="0.3">
      <c r="B54" s="10">
        <v>389883</v>
      </c>
      <c r="C54" s="10" t="s">
        <v>96</v>
      </c>
      <c r="D54" s="10" t="s">
        <v>57</v>
      </c>
      <c r="E54" s="10" t="s">
        <v>58</v>
      </c>
      <c r="F54" s="10" t="s">
        <v>25</v>
      </c>
      <c r="G54" s="10" t="s">
        <v>26</v>
      </c>
      <c r="H54" s="10" t="s">
        <v>97</v>
      </c>
      <c r="I54" s="10" t="s">
        <v>89</v>
      </c>
      <c r="J54" s="10"/>
      <c r="K54" s="137">
        <v>218</v>
      </c>
      <c r="L54" s="134">
        <f>Tableau1[[#This Row],[SPL (SDP)]]*0.87</f>
        <v>189.66</v>
      </c>
      <c r="M54" s="134">
        <v>0</v>
      </c>
      <c r="N54" s="134">
        <f>Tableau1[[#This Row],[SPL (SDP)]]*0.63</f>
        <v>137.34</v>
      </c>
      <c r="O54" s="181">
        <v>0</v>
      </c>
      <c r="P54" s="10"/>
      <c r="Q54" s="10">
        <v>0</v>
      </c>
      <c r="R54" s="191">
        <v>2</v>
      </c>
      <c r="S54" s="31">
        <f>IFERROR(Tableau1[[#This Row],[SUB TERTIAIRE]]/Tableau1[[#This Row],[POSTES DE TRAVAIL]],"")</f>
        <v>0</v>
      </c>
      <c r="T54" s="31" t="str">
        <f>IFERROR(Tableau1[[#This Row],[SUB TERTIAIRE]]/Tableau1[[#This Row],[RESIDENTS]],"")</f>
        <v/>
      </c>
      <c r="U54" s="31">
        <f>Tableau1[[#This Row],[SUN]]/Tableau1[[#This Row],[SUB GENERALE]]</f>
        <v>0.72413793103448276</v>
      </c>
    </row>
    <row r="55" spans="2:26" s="22" customFormat="1" ht="24.75" customHeight="1" x14ac:dyDescent="0.25">
      <c r="B55" s="11" t="s">
        <v>37</v>
      </c>
      <c r="C55" s="11" t="s">
        <v>98</v>
      </c>
      <c r="D55" s="11" t="s">
        <v>53</v>
      </c>
      <c r="E55" s="11" t="s">
        <v>54</v>
      </c>
      <c r="F55" s="11" t="s">
        <v>25</v>
      </c>
      <c r="G55" s="11" t="s">
        <v>26</v>
      </c>
      <c r="H55" s="10" t="s">
        <v>88</v>
      </c>
      <c r="I55" s="10" t="s">
        <v>89</v>
      </c>
      <c r="J55" s="11"/>
      <c r="K55" s="138">
        <v>0</v>
      </c>
      <c r="L55" s="134">
        <f>Tableau1[[#This Row],[SPL (SDP)]]*0.87</f>
        <v>0</v>
      </c>
      <c r="M55" s="134">
        <v>0</v>
      </c>
      <c r="N55" s="134">
        <f>Tableau1[[#This Row],[SPL (SDP)]]*0.63</f>
        <v>0</v>
      </c>
      <c r="O55" s="161">
        <v>0</v>
      </c>
      <c r="P55" s="11"/>
      <c r="Q55" s="11" t="s">
        <v>37</v>
      </c>
      <c r="R55" s="192">
        <v>0</v>
      </c>
      <c r="S55" s="31" t="str">
        <f>IFERROR(Tableau1[[#This Row],[SUB TERTIAIRE]]/Tableau1[[#This Row],[POSTES DE TRAVAIL]],"")</f>
        <v/>
      </c>
      <c r="T55" s="31" t="str">
        <f>IFERROR(Tableau1[[#This Row],[SUB TERTIAIRE]]/Tableau1[[#This Row],[RESIDENTS]],"")</f>
        <v/>
      </c>
      <c r="U55" s="31" t="s">
        <v>37</v>
      </c>
    </row>
    <row r="56" spans="2:26" s="22" customFormat="1" ht="24.75" customHeight="1" x14ac:dyDescent="0.25">
      <c r="B56" s="11" t="s">
        <v>37</v>
      </c>
      <c r="C56" s="11" t="s">
        <v>99</v>
      </c>
      <c r="D56" s="11" t="s">
        <v>53</v>
      </c>
      <c r="E56" s="11" t="s">
        <v>54</v>
      </c>
      <c r="F56" s="11" t="s">
        <v>25</v>
      </c>
      <c r="G56" s="11" t="s">
        <v>26</v>
      </c>
      <c r="H56" s="10" t="s">
        <v>88</v>
      </c>
      <c r="I56" s="10" t="s">
        <v>89</v>
      </c>
      <c r="J56" s="11"/>
      <c r="K56" s="138">
        <v>0</v>
      </c>
      <c r="L56" s="134">
        <f>Tableau1[[#This Row],[SPL (SDP)]]*0.87</f>
        <v>0</v>
      </c>
      <c r="M56" s="134">
        <v>0</v>
      </c>
      <c r="N56" s="134">
        <f>Tableau1[[#This Row],[SPL (SDP)]]*0.63</f>
        <v>0</v>
      </c>
      <c r="O56" s="161">
        <v>0</v>
      </c>
      <c r="P56" s="11"/>
      <c r="Q56" s="11" t="s">
        <v>37</v>
      </c>
      <c r="R56" s="192">
        <v>0</v>
      </c>
      <c r="S56" s="31" t="str">
        <f>IFERROR(Tableau1[[#This Row],[SUB TERTIAIRE]]/Tableau1[[#This Row],[POSTES DE TRAVAIL]],"")</f>
        <v/>
      </c>
      <c r="T56" s="31" t="str">
        <f>IFERROR(Tableau1[[#This Row],[SUB TERTIAIRE]]/Tableau1[[#This Row],[RESIDENTS]],"")</f>
        <v/>
      </c>
      <c r="U56" s="31" t="s">
        <v>37</v>
      </c>
    </row>
    <row r="57" spans="2:26" s="22" customFormat="1" ht="24.75" customHeight="1" x14ac:dyDescent="0.25">
      <c r="B57" s="11" t="s">
        <v>37</v>
      </c>
      <c r="C57" s="11" t="s">
        <v>100</v>
      </c>
      <c r="D57" s="11" t="s">
        <v>53</v>
      </c>
      <c r="E57" s="11" t="s">
        <v>54</v>
      </c>
      <c r="F57" s="11" t="s">
        <v>25</v>
      </c>
      <c r="G57" s="11" t="s">
        <v>26</v>
      </c>
      <c r="H57" s="10" t="s">
        <v>88</v>
      </c>
      <c r="I57" s="10" t="s">
        <v>89</v>
      </c>
      <c r="J57" s="11"/>
      <c r="K57" s="138">
        <v>0</v>
      </c>
      <c r="L57" s="134">
        <f>Tableau1[[#This Row],[SPL (SDP)]]*0.87</f>
        <v>0</v>
      </c>
      <c r="M57" s="134">
        <v>0</v>
      </c>
      <c r="N57" s="134">
        <f>Tableau1[[#This Row],[SPL (SDP)]]*0.63</f>
        <v>0</v>
      </c>
      <c r="O57" s="161">
        <v>0</v>
      </c>
      <c r="P57" s="11"/>
      <c r="Q57" s="11" t="s">
        <v>37</v>
      </c>
      <c r="R57" s="192">
        <v>0</v>
      </c>
      <c r="S57" s="31" t="str">
        <f>IFERROR(Tableau1[[#This Row],[SUB TERTIAIRE]]/Tableau1[[#This Row],[POSTES DE TRAVAIL]],"")</f>
        <v/>
      </c>
      <c r="T57" s="31" t="str">
        <f>IFERROR(Tableau1[[#This Row],[SUB TERTIAIRE]]/Tableau1[[#This Row],[RESIDENTS]],"")</f>
        <v/>
      </c>
      <c r="U57" s="31" t="s">
        <v>37</v>
      </c>
    </row>
    <row r="58" spans="2:26" s="22" customFormat="1" ht="24.75" customHeight="1" x14ac:dyDescent="0.25">
      <c r="B58" s="11" t="s">
        <v>37</v>
      </c>
      <c r="C58" s="11" t="s">
        <v>101</v>
      </c>
      <c r="D58" s="11" t="s">
        <v>53</v>
      </c>
      <c r="E58" s="11" t="s">
        <v>54</v>
      </c>
      <c r="F58" s="11" t="s">
        <v>25</v>
      </c>
      <c r="G58" s="11" t="s">
        <v>26</v>
      </c>
      <c r="H58" s="10" t="s">
        <v>88</v>
      </c>
      <c r="I58" s="10" t="s">
        <v>89</v>
      </c>
      <c r="J58" s="11"/>
      <c r="K58" s="138">
        <v>0</v>
      </c>
      <c r="L58" s="134">
        <f>Tableau1[[#This Row],[SPL (SDP)]]*0.87</f>
        <v>0</v>
      </c>
      <c r="M58" s="134">
        <v>0</v>
      </c>
      <c r="N58" s="134">
        <f>Tableau1[[#This Row],[SPL (SDP)]]*0.63</f>
        <v>0</v>
      </c>
      <c r="O58" s="161">
        <v>0</v>
      </c>
      <c r="P58" s="11"/>
      <c r="Q58" s="11" t="s">
        <v>37</v>
      </c>
      <c r="R58" s="192">
        <v>0</v>
      </c>
      <c r="S58" s="31" t="str">
        <f>IFERROR(Tableau1[[#This Row],[SUB TERTIAIRE]]/Tableau1[[#This Row],[POSTES DE TRAVAIL]],"")</f>
        <v/>
      </c>
      <c r="T58" s="31" t="str">
        <f>IFERROR(Tableau1[[#This Row],[SUB TERTIAIRE]]/Tableau1[[#This Row],[RESIDENTS]],"")</f>
        <v/>
      </c>
      <c r="U58" s="31" t="s">
        <v>37</v>
      </c>
    </row>
    <row r="59" spans="2:26" s="21" customFormat="1" ht="24.75" customHeight="1" x14ac:dyDescent="0.3">
      <c r="B59" s="10">
        <v>394767</v>
      </c>
      <c r="C59" s="10" t="s">
        <v>102</v>
      </c>
      <c r="D59" s="10" t="s">
        <v>53</v>
      </c>
      <c r="E59" s="10" t="s">
        <v>54</v>
      </c>
      <c r="F59" s="10" t="s">
        <v>25</v>
      </c>
      <c r="G59" s="10" t="s">
        <v>26</v>
      </c>
      <c r="H59" s="10" t="s">
        <v>88</v>
      </c>
      <c r="I59" s="10" t="s">
        <v>89</v>
      </c>
      <c r="J59" s="10" t="s">
        <v>103</v>
      </c>
      <c r="K59" s="137">
        <v>519</v>
      </c>
      <c r="L59" s="134">
        <f>Tableau1[[#This Row],[SPL (SDP)]]*0.87</f>
        <v>451.53</v>
      </c>
      <c r="M59" s="134">
        <v>0</v>
      </c>
      <c r="N59" s="134">
        <f>Tableau1[[#This Row],[SPL (SDP)]]*0.63</f>
        <v>326.97000000000003</v>
      </c>
      <c r="O59" s="181">
        <v>0</v>
      </c>
      <c r="P59" s="10"/>
      <c r="Q59" s="10" t="s">
        <v>37</v>
      </c>
      <c r="R59" s="191">
        <v>0</v>
      </c>
      <c r="S59" s="31" t="str">
        <f>IFERROR(Tableau1[[#This Row],[SUB TERTIAIRE]]/Tableau1[[#This Row],[POSTES DE TRAVAIL]],"")</f>
        <v/>
      </c>
      <c r="T59" s="31" t="str">
        <f>IFERROR(Tableau1[[#This Row],[SUB TERTIAIRE]]/Tableau1[[#This Row],[RESIDENTS]],"")</f>
        <v/>
      </c>
      <c r="U59" s="31" t="s">
        <v>37</v>
      </c>
    </row>
    <row r="60" spans="2:26" s="23" customFormat="1" ht="24" customHeight="1" thickBot="1" x14ac:dyDescent="0.35">
      <c r="B60" s="38" t="s">
        <v>104</v>
      </c>
      <c r="C60" s="38"/>
      <c r="D60" s="38"/>
      <c r="E60" s="38"/>
      <c r="F60" s="39"/>
      <c r="G60" s="38"/>
      <c r="H60" s="38"/>
      <c r="I60" s="38"/>
      <c r="J60" s="38"/>
      <c r="K60" s="139">
        <f>SUBTOTAL(9,K47:K59)</f>
        <v>38553</v>
      </c>
      <c r="L60" s="139">
        <f t="shared" ref="L60" si="1">SUBTOTAL(9,L47:L59)</f>
        <v>33541.11</v>
      </c>
      <c r="M60" s="139">
        <f t="shared" ref="M60:R60" si="2">SUBTOTAL(9,M47:M59)</f>
        <v>1915.6000000000004</v>
      </c>
      <c r="N60" s="139">
        <f t="shared" si="2"/>
        <v>24288.390000000003</v>
      </c>
      <c r="O60" s="176">
        <f t="shared" si="2"/>
        <v>1387.15</v>
      </c>
      <c r="P60" s="38">
        <f t="shared" si="2"/>
        <v>3323</v>
      </c>
      <c r="Q60" s="38">
        <f t="shared" si="2"/>
        <v>175</v>
      </c>
      <c r="R60" s="38">
        <f t="shared" si="2"/>
        <v>430</v>
      </c>
      <c r="S60" s="40">
        <f>IFERROR(Tableau1[[#This Row],[SUB TERTIAIRE]]/Tableau1[[#This Row],[POSTES DE TRAVAIL]],"")</f>
        <v>4.4548837209302334</v>
      </c>
      <c r="T60" s="40">
        <f>IFERROR(Tableau1[[#This Row],[SUB TERTIAIRE]]/Tableau1[[#This Row],[RESIDENTS]],"")</f>
        <v>10.946285714285716</v>
      </c>
      <c r="U60" s="41">
        <f>IFERROR(Tableau1[[#This Row],[SUN]]/Tableau1[[#This Row],[SUB GENERALE]],"")</f>
        <v>0.72413793103448287</v>
      </c>
    </row>
    <row r="61" spans="2:26" ht="20.25" customHeight="1" thickTop="1" x14ac:dyDescent="0.3">
      <c r="B61" s="10">
        <v>324565</v>
      </c>
      <c r="C61" s="10" t="s">
        <v>87</v>
      </c>
      <c r="D61" s="10" t="s">
        <v>23</v>
      </c>
      <c r="E61" s="10" t="s">
        <v>32</v>
      </c>
      <c r="F61" s="10" t="s">
        <v>25</v>
      </c>
      <c r="G61" s="10" t="s">
        <v>26</v>
      </c>
      <c r="H61" s="10" t="s">
        <v>105</v>
      </c>
      <c r="I61" s="10" t="s">
        <v>106</v>
      </c>
      <c r="J61" s="10"/>
      <c r="K61" s="137">
        <v>8643</v>
      </c>
      <c r="L61" s="134">
        <f>Tableau1[[#This Row],[SPL (SDP)]]*0.87</f>
        <v>7519.41</v>
      </c>
      <c r="M61" s="134">
        <v>1028.01</v>
      </c>
      <c r="N61" s="134">
        <f>Tableau1[[#This Row],[SPL (SDP)]]*0.63</f>
        <v>5445.09</v>
      </c>
      <c r="O61" s="182">
        <v>744.42</v>
      </c>
      <c r="P61" s="10"/>
      <c r="Q61" s="10">
        <v>112</v>
      </c>
      <c r="R61" s="191">
        <v>150</v>
      </c>
      <c r="S61" s="31">
        <f>IFERROR(Tableau1[[#This Row],[SUB TERTIAIRE]]/Tableau1[[#This Row],[POSTES DE TRAVAIL]],"")</f>
        <v>6.8533999999999997</v>
      </c>
      <c r="T61" s="31">
        <f>IFERROR(Tableau1[[#This Row],[SUB TERTIAIRE]]/Tableau1[[#This Row],[RESIDENTS]],"")</f>
        <v>9.178660714285714</v>
      </c>
      <c r="U61" s="31">
        <f>Tableau1[[#This Row],[SUN]]/Tableau1[[#This Row],[SUB GENERALE]]</f>
        <v>0.72413793103448276</v>
      </c>
      <c r="V61"/>
      <c r="W61"/>
      <c r="Z61"/>
    </row>
    <row r="62" spans="2:26" ht="20.25" customHeight="1" x14ac:dyDescent="0.3">
      <c r="B62" s="10">
        <v>390485</v>
      </c>
      <c r="C62" s="10" t="s">
        <v>29</v>
      </c>
      <c r="D62" s="10" t="s">
        <v>23</v>
      </c>
      <c r="E62" s="10" t="s">
        <v>30</v>
      </c>
      <c r="F62" s="10" t="s">
        <v>25</v>
      </c>
      <c r="G62" s="10" t="s">
        <v>26</v>
      </c>
      <c r="H62" s="10" t="s">
        <v>105</v>
      </c>
      <c r="I62" s="10" t="s">
        <v>106</v>
      </c>
      <c r="J62" s="10"/>
      <c r="K62" s="137">
        <v>4793</v>
      </c>
      <c r="L62" s="134">
        <f>Tableau1[[#This Row],[SPL (SDP)]]*0.87</f>
        <v>4169.91</v>
      </c>
      <c r="M62" s="134">
        <v>137.72999999999999</v>
      </c>
      <c r="N62" s="134">
        <f>Tableau1[[#This Row],[SPL (SDP)]]*0.63</f>
        <v>3019.59</v>
      </c>
      <c r="O62" s="184">
        <v>99.74</v>
      </c>
      <c r="P62" s="10"/>
      <c r="Q62" s="10">
        <v>18</v>
      </c>
      <c r="R62" s="191">
        <v>15</v>
      </c>
      <c r="S62" s="31">
        <f>IFERROR(Tableau1[[#This Row],[SUB TERTIAIRE]]/Tableau1[[#This Row],[POSTES DE TRAVAIL]],"")</f>
        <v>9.1819999999999986</v>
      </c>
      <c r="T62" s="31">
        <f>IFERROR(Tableau1[[#This Row],[SUB TERTIAIRE]]/Tableau1[[#This Row],[RESIDENTS]],"")</f>
        <v>7.6516666666666664</v>
      </c>
      <c r="U62" s="31">
        <f>Tableau1[[#This Row],[SUN]]/Tableau1[[#This Row],[SUB GENERALE]]</f>
        <v>0.72413793103448287</v>
      </c>
      <c r="V62"/>
      <c r="W62"/>
      <c r="Z62"/>
    </row>
    <row r="63" spans="2:26" ht="20.25" customHeight="1" x14ac:dyDescent="0.3">
      <c r="B63" s="10">
        <v>390486</v>
      </c>
      <c r="C63" s="10" t="s">
        <v>107</v>
      </c>
      <c r="D63" s="10" t="s">
        <v>23</v>
      </c>
      <c r="E63" s="10" t="s">
        <v>32</v>
      </c>
      <c r="F63" s="10" t="s">
        <v>25</v>
      </c>
      <c r="G63" s="10" t="s">
        <v>26</v>
      </c>
      <c r="H63" s="10" t="s">
        <v>105</v>
      </c>
      <c r="I63" s="10" t="s">
        <v>106</v>
      </c>
      <c r="J63" s="10"/>
      <c r="K63" s="137">
        <v>1061</v>
      </c>
      <c r="L63" s="134">
        <f>Tableau1[[#This Row],[SPL (SDP)]]*0.87</f>
        <v>923.07</v>
      </c>
      <c r="M63" s="134">
        <v>18.933</v>
      </c>
      <c r="N63" s="134">
        <f>Tableau1[[#This Row],[SPL (SDP)]]*0.63</f>
        <v>668.43</v>
      </c>
      <c r="O63" s="184">
        <v>13.71</v>
      </c>
      <c r="P63" s="10"/>
      <c r="Q63" s="10">
        <v>0</v>
      </c>
      <c r="R63" s="191">
        <v>1</v>
      </c>
      <c r="S63" s="31">
        <f>IFERROR(Tableau1[[#This Row],[SUB TERTIAIRE]]/Tableau1[[#This Row],[POSTES DE TRAVAIL]],"")</f>
        <v>18.933</v>
      </c>
      <c r="T63" s="31" t="str">
        <f>IFERROR(Tableau1[[#This Row],[SUB TERTIAIRE]]/Tableau1[[#This Row],[RESIDENTS]],"")</f>
        <v/>
      </c>
      <c r="U63" s="31">
        <f>Tableau1[[#This Row],[SUN]]/Tableau1[[#This Row],[SUB GENERALE]]</f>
        <v>0.72413793103448265</v>
      </c>
      <c r="V63"/>
      <c r="W63"/>
      <c r="Z63"/>
    </row>
    <row r="64" spans="2:26" ht="20.25" customHeight="1" x14ac:dyDescent="0.3">
      <c r="B64" s="10">
        <v>390488</v>
      </c>
      <c r="C64" s="10" t="s">
        <v>92</v>
      </c>
      <c r="D64" s="10" t="s">
        <v>57</v>
      </c>
      <c r="E64" s="10" t="s">
        <v>58</v>
      </c>
      <c r="F64" s="10" t="s">
        <v>25</v>
      </c>
      <c r="G64" s="10" t="s">
        <v>26</v>
      </c>
      <c r="H64" s="10" t="s">
        <v>105</v>
      </c>
      <c r="I64" s="10" t="s">
        <v>106</v>
      </c>
      <c r="J64" s="10"/>
      <c r="K64" s="137">
        <v>1662</v>
      </c>
      <c r="L64" s="134">
        <f>Tableau1[[#This Row],[SPL (SDP)]]*0.87</f>
        <v>1445.94</v>
      </c>
      <c r="M64" s="134">
        <v>0</v>
      </c>
      <c r="N64" s="134">
        <f>Tableau1[[#This Row],[SPL (SDP)]]*0.63</f>
        <v>1047.06</v>
      </c>
      <c r="O64" s="184">
        <v>0</v>
      </c>
      <c r="P64" s="10"/>
      <c r="Q64" s="10">
        <v>0</v>
      </c>
      <c r="R64" s="191">
        <v>4</v>
      </c>
      <c r="S64" s="31">
        <f>IFERROR(Tableau1[[#This Row],[SUB TERTIAIRE]]/Tableau1[[#This Row],[POSTES DE TRAVAIL]],"")</f>
        <v>0</v>
      </c>
      <c r="T64" s="31" t="str">
        <f>IFERROR(Tableau1[[#This Row],[SUB TERTIAIRE]]/Tableau1[[#This Row],[RESIDENTS]],"")</f>
        <v/>
      </c>
      <c r="U64" s="31">
        <f>Tableau1[[#This Row],[SUN]]/Tableau1[[#This Row],[SUB GENERALE]]</f>
        <v>0.72413793103448265</v>
      </c>
      <c r="V64"/>
      <c r="W64"/>
      <c r="Z64"/>
    </row>
    <row r="65" spans="2:26" ht="20.25" customHeight="1" x14ac:dyDescent="0.3">
      <c r="B65" s="10">
        <v>390489</v>
      </c>
      <c r="C65" s="10" t="s">
        <v>108</v>
      </c>
      <c r="D65" s="10" t="s">
        <v>23</v>
      </c>
      <c r="E65" s="10" t="s">
        <v>32</v>
      </c>
      <c r="F65" s="10" t="s">
        <v>25</v>
      </c>
      <c r="G65" s="10" t="s">
        <v>26</v>
      </c>
      <c r="H65" s="10" t="s">
        <v>105</v>
      </c>
      <c r="I65" s="10" t="s">
        <v>106</v>
      </c>
      <c r="J65" s="10"/>
      <c r="K65" s="137">
        <v>78</v>
      </c>
      <c r="L65" s="134">
        <f>Tableau1[[#This Row],[SPL (SDP)]]*0.87</f>
        <v>67.86</v>
      </c>
      <c r="M65" s="134">
        <v>0</v>
      </c>
      <c r="N65" s="134">
        <f>Tableau1[[#This Row],[SPL (SDP)]]*0.63</f>
        <v>49.14</v>
      </c>
      <c r="O65" s="184">
        <v>0</v>
      </c>
      <c r="P65" s="10"/>
      <c r="Q65" s="10">
        <v>0</v>
      </c>
      <c r="R65" s="191">
        <v>0</v>
      </c>
      <c r="S65" s="31" t="str">
        <f>IFERROR(Tableau1[[#This Row],[SUB TERTIAIRE]]/Tableau1[[#This Row],[POSTES DE TRAVAIL]],"")</f>
        <v/>
      </c>
      <c r="T65" s="31" t="str">
        <f>IFERROR(Tableau1[[#This Row],[SUB TERTIAIRE]]/Tableau1[[#This Row],[RESIDENTS]],"")</f>
        <v/>
      </c>
      <c r="U65" s="31">
        <f>Tableau1[[#This Row],[SUN]]/Tableau1[[#This Row],[SUB GENERALE]]</f>
        <v>0.72413793103448276</v>
      </c>
      <c r="V65"/>
      <c r="W65"/>
      <c r="Z65"/>
    </row>
    <row r="66" spans="2:26" ht="20.25" customHeight="1" x14ac:dyDescent="0.3">
      <c r="B66" s="10">
        <v>390490</v>
      </c>
      <c r="C66" s="10" t="s">
        <v>109</v>
      </c>
      <c r="D66" s="10" t="s">
        <v>23</v>
      </c>
      <c r="E66" s="10" t="s">
        <v>32</v>
      </c>
      <c r="F66" s="10" t="s">
        <v>25</v>
      </c>
      <c r="G66" s="10" t="s">
        <v>26</v>
      </c>
      <c r="H66" s="10" t="s">
        <v>105</v>
      </c>
      <c r="I66" s="10" t="s">
        <v>106</v>
      </c>
      <c r="J66" s="10"/>
      <c r="K66" s="137">
        <v>1425</v>
      </c>
      <c r="L66" s="134">
        <f>Tableau1[[#This Row],[SPL (SDP)]]*0.87</f>
        <v>1239.75</v>
      </c>
      <c r="M66" s="134">
        <v>151.08000000000001</v>
      </c>
      <c r="N66" s="134">
        <f>Tableau1[[#This Row],[SPL (SDP)]]*0.63</f>
        <v>897.75</v>
      </c>
      <c r="O66" s="184">
        <v>109.41</v>
      </c>
      <c r="P66" s="10"/>
      <c r="Q66" s="10">
        <v>10</v>
      </c>
      <c r="R66" s="191">
        <v>6</v>
      </c>
      <c r="S66" s="31">
        <f>IFERROR(Tableau1[[#This Row],[SUB TERTIAIRE]]/Tableau1[[#This Row],[POSTES DE TRAVAIL]],"")</f>
        <v>25.180000000000003</v>
      </c>
      <c r="T66" s="31">
        <f>IFERROR(Tableau1[[#This Row],[SUB TERTIAIRE]]/Tableau1[[#This Row],[RESIDENTS]],"")</f>
        <v>15.108000000000001</v>
      </c>
      <c r="U66" s="31">
        <f>Tableau1[[#This Row],[SUN]]/Tableau1[[#This Row],[SUB GENERALE]]</f>
        <v>0.72413793103448276</v>
      </c>
      <c r="V66"/>
      <c r="W66"/>
      <c r="Z66"/>
    </row>
    <row r="67" spans="2:26" ht="20.25" customHeight="1" x14ac:dyDescent="0.3">
      <c r="B67" s="10" t="s">
        <v>64</v>
      </c>
      <c r="C67" s="10" t="s">
        <v>110</v>
      </c>
      <c r="D67" s="10" t="s">
        <v>23</v>
      </c>
      <c r="E67" s="10" t="s">
        <v>32</v>
      </c>
      <c r="F67" s="10" t="s">
        <v>25</v>
      </c>
      <c r="G67" s="10" t="s">
        <v>26</v>
      </c>
      <c r="H67" s="10" t="s">
        <v>105</v>
      </c>
      <c r="I67" s="10" t="s">
        <v>106</v>
      </c>
      <c r="J67" s="10"/>
      <c r="K67" s="137">
        <v>2665</v>
      </c>
      <c r="L67" s="134">
        <f>Tableau1[[#This Row],[SPL (SDP)]]*0.87</f>
        <v>2318.5500000000002</v>
      </c>
      <c r="M67" s="134">
        <v>0</v>
      </c>
      <c r="N67" s="134">
        <f>Tableau1[[#This Row],[SPL (SDP)]]*0.63</f>
        <v>1678.95</v>
      </c>
      <c r="O67" s="184">
        <v>0</v>
      </c>
      <c r="P67" s="10"/>
      <c r="Q67" s="10" t="s">
        <v>37</v>
      </c>
      <c r="R67" s="191">
        <v>0</v>
      </c>
      <c r="S67" s="31" t="str">
        <f>IFERROR(Tableau1[[#This Row],[SUB TERTIAIRE]]/Tableau1[[#This Row],[POSTES DE TRAVAIL]],"")</f>
        <v/>
      </c>
      <c r="T67" s="31" t="str">
        <f>IFERROR(Tableau1[[#This Row],[SUB TERTIAIRE]]/Tableau1[[#This Row],[RESIDENTS]],"")</f>
        <v/>
      </c>
      <c r="U67" s="31" t="s">
        <v>37</v>
      </c>
      <c r="V67"/>
      <c r="W67"/>
      <c r="Z67"/>
    </row>
    <row r="68" spans="2:26" s="23" customFormat="1" ht="24.75" customHeight="1" thickBot="1" x14ac:dyDescent="0.35">
      <c r="B68" s="38" t="s">
        <v>111</v>
      </c>
      <c r="C68" s="38"/>
      <c r="D68" s="38"/>
      <c r="E68" s="38"/>
      <c r="F68" s="39"/>
      <c r="G68" s="38"/>
      <c r="H68" s="38"/>
      <c r="I68" s="38"/>
      <c r="J68" s="38"/>
      <c r="K68" s="139">
        <f>SUBTOTAL(9,K61:K67)</f>
        <v>20327</v>
      </c>
      <c r="L68" s="139">
        <f t="shared" ref="L68" si="3">SUBTOTAL(9,L61:L67)</f>
        <v>17684.490000000002</v>
      </c>
      <c r="M68" s="139">
        <f>SUBTOTAL(9,M61:M67)</f>
        <v>1335.7529999999999</v>
      </c>
      <c r="N68" s="139">
        <f>SUBTOTAL(9,N61:N67)</f>
        <v>12806.01</v>
      </c>
      <c r="O68" s="176">
        <f>SUBTOTAL(9,O61:O67)</f>
        <v>967.28</v>
      </c>
      <c r="P68" s="38">
        <f t="shared" ref="P68:R68" si="4">SUBTOTAL(9,P61:P67)</f>
        <v>0</v>
      </c>
      <c r="Q68" s="38">
        <f t="shared" si="4"/>
        <v>140</v>
      </c>
      <c r="R68" s="38">
        <f t="shared" si="4"/>
        <v>176</v>
      </c>
      <c r="S68" s="40">
        <f>IFERROR(Tableau1[[#This Row],[SUB TERTIAIRE]]/Tableau1[[#This Row],[POSTES DE TRAVAIL]],"")</f>
        <v>7.5895056818181814</v>
      </c>
      <c r="T68" s="40">
        <f>IFERROR(Tableau1[[#This Row],[SUB TERTIAIRE]]/Tableau1[[#This Row],[RESIDENTS]],"")</f>
        <v>9.541092857142857</v>
      </c>
      <c r="U68" s="41">
        <f>IFERROR(Tableau1[[#This Row],[SUN]]/Tableau1[[#This Row],[SUB GENERALE]],"")</f>
        <v>0.72413793103448265</v>
      </c>
    </row>
    <row r="69" spans="2:26" s="24" customFormat="1" ht="15" thickTop="1" x14ac:dyDescent="0.3">
      <c r="B69" s="10">
        <v>323183</v>
      </c>
      <c r="C69" s="10" t="s">
        <v>112</v>
      </c>
      <c r="D69" s="10" t="s">
        <v>23</v>
      </c>
      <c r="E69" s="10" t="s">
        <v>32</v>
      </c>
      <c r="F69" s="36" t="s">
        <v>25</v>
      </c>
      <c r="G69" s="10" t="s">
        <v>26</v>
      </c>
      <c r="H69" s="10" t="s">
        <v>113</v>
      </c>
      <c r="I69" s="10" t="s">
        <v>114</v>
      </c>
      <c r="J69" s="10"/>
      <c r="K69" s="137">
        <v>3455</v>
      </c>
      <c r="L69" s="134">
        <f>Tableau1[[#This Row],[SPL (SDP)]]*0.87</f>
        <v>3005.85</v>
      </c>
      <c r="M69" s="134">
        <v>179.77</v>
      </c>
      <c r="N69" s="134">
        <f>Tableau1[[#This Row],[SPL (SDP)]]*0.63</f>
        <v>2176.65</v>
      </c>
      <c r="O69" s="162">
        <v>130.18</v>
      </c>
      <c r="P69" s="10"/>
      <c r="Q69" s="10">
        <v>24</v>
      </c>
      <c r="R69" s="191">
        <v>32</v>
      </c>
      <c r="S69" s="31">
        <f>IFERROR(Tableau1[[#This Row],[SUB TERTIAIRE]]/Tableau1[[#This Row],[POSTES DE TRAVAIL]],"")</f>
        <v>5.6178125000000003</v>
      </c>
      <c r="T69" s="31">
        <f>IFERROR(Tableau1[[#This Row],[SUB TERTIAIRE]]/Tableau1[[#This Row],[RESIDENTS]],"")</f>
        <v>7.4904166666666674</v>
      </c>
      <c r="U69" s="37">
        <f>Tableau1[[#This Row],[SUN]]/Tableau1[[#This Row],[SUB GENERALE]]</f>
        <v>0.72413793103448276</v>
      </c>
    </row>
    <row r="70" spans="2:26" s="24" customFormat="1" x14ac:dyDescent="0.3">
      <c r="B70" s="10">
        <v>390324</v>
      </c>
      <c r="C70" s="10" t="s">
        <v>115</v>
      </c>
      <c r="D70" s="10" t="s">
        <v>23</v>
      </c>
      <c r="E70" s="10" t="s">
        <v>32</v>
      </c>
      <c r="F70" s="36" t="s">
        <v>25</v>
      </c>
      <c r="G70" s="10" t="s">
        <v>26</v>
      </c>
      <c r="H70" s="10" t="s">
        <v>113</v>
      </c>
      <c r="I70" s="10" t="s">
        <v>114</v>
      </c>
      <c r="J70" s="10" t="s">
        <v>103</v>
      </c>
      <c r="K70" s="137">
        <v>3824</v>
      </c>
      <c r="L70" s="134">
        <f>Tableau1[[#This Row],[SPL (SDP)]]*0.87</f>
        <v>3326.88</v>
      </c>
      <c r="M70" s="134">
        <v>224.72</v>
      </c>
      <c r="N70" s="134">
        <f>Tableau1[[#This Row],[SPL (SDP)]]*0.63</f>
        <v>2409.12</v>
      </c>
      <c r="O70" s="162">
        <v>162.72999999999999</v>
      </c>
      <c r="P70" s="10"/>
      <c r="Q70" s="10">
        <v>19</v>
      </c>
      <c r="R70" s="191">
        <v>60</v>
      </c>
      <c r="S70" s="31">
        <f>IFERROR(Tableau1[[#This Row],[SUB TERTIAIRE]]/Tableau1[[#This Row],[POSTES DE TRAVAIL]],"")</f>
        <v>3.7453333333333334</v>
      </c>
      <c r="T70" s="31">
        <f>IFERROR(Tableau1[[#This Row],[SUB TERTIAIRE]]/Tableau1[[#This Row],[RESIDENTS]],"")</f>
        <v>11.827368421052631</v>
      </c>
      <c r="U70" s="37">
        <f>Tableau1[[#This Row],[SUN]]/Tableau1[[#This Row],[SUB GENERALE]]</f>
        <v>0.72413793103448265</v>
      </c>
    </row>
    <row r="71" spans="2:26" s="24" customFormat="1" x14ac:dyDescent="0.3">
      <c r="B71" s="10" t="s">
        <v>64</v>
      </c>
      <c r="C71" s="10" t="s">
        <v>116</v>
      </c>
      <c r="D71" s="10" t="s">
        <v>23</v>
      </c>
      <c r="E71" s="10" t="s">
        <v>32</v>
      </c>
      <c r="F71" s="36" t="s">
        <v>25</v>
      </c>
      <c r="G71" s="10" t="s">
        <v>26</v>
      </c>
      <c r="H71" s="10" t="s">
        <v>113</v>
      </c>
      <c r="I71" s="10" t="s">
        <v>114</v>
      </c>
      <c r="J71" s="10"/>
      <c r="K71" s="137">
        <v>365</v>
      </c>
      <c r="L71" s="134">
        <f>Tableau1[[#This Row],[SPL (SDP)]]*0.87</f>
        <v>317.55</v>
      </c>
      <c r="M71" s="134">
        <v>0</v>
      </c>
      <c r="N71" s="134">
        <f>Tableau1[[#This Row],[SPL (SDP)]]*0.63</f>
        <v>229.95</v>
      </c>
      <c r="O71" s="162">
        <v>0</v>
      </c>
      <c r="P71" s="10"/>
      <c r="Q71" s="10">
        <v>0</v>
      </c>
      <c r="R71" s="191">
        <v>0</v>
      </c>
      <c r="S71" s="31" t="str">
        <f>IFERROR(Tableau1[[#This Row],[SUB TERTIAIRE]]/Tableau1[[#This Row],[POSTES DE TRAVAIL]],"")</f>
        <v/>
      </c>
      <c r="T71" s="31" t="str">
        <f>IFERROR(Tableau1[[#This Row],[SUB TERTIAIRE]]/Tableau1[[#This Row],[RESIDENTS]],"")</f>
        <v/>
      </c>
      <c r="U71" s="37">
        <f>Tableau1[[#This Row],[SUN]]/Tableau1[[#This Row],[SUB GENERALE]]</f>
        <v>0.72413793103448265</v>
      </c>
    </row>
    <row r="72" spans="2:26" s="23" customFormat="1" ht="15" thickBot="1" x14ac:dyDescent="0.35">
      <c r="B72" s="32" t="s">
        <v>117</v>
      </c>
      <c r="C72" s="32"/>
      <c r="D72" s="32"/>
      <c r="E72" s="32"/>
      <c r="F72" s="33"/>
      <c r="G72" s="32"/>
      <c r="H72" s="32"/>
      <c r="I72" s="32"/>
      <c r="J72" s="32"/>
      <c r="K72" s="140">
        <f>SUBTOTAL(9,K69:K71)</f>
        <v>7644</v>
      </c>
      <c r="L72" s="133">
        <f t="shared" ref="L72" si="5">SUBTOTAL(9,L69:L71)</f>
        <v>6650.28</v>
      </c>
      <c r="M72" s="133">
        <f>SUBTOTAL(9,M69:M71)</f>
        <v>404.49</v>
      </c>
      <c r="N72" s="133">
        <f t="shared" ref="N72:R72" si="6">SUBTOTAL(9,N69:N71)</f>
        <v>4815.72</v>
      </c>
      <c r="O72" s="183">
        <f>SUBTOTAL(9,O69:O71)</f>
        <v>292.90999999999997</v>
      </c>
      <c r="P72" s="32">
        <f t="shared" si="6"/>
        <v>0</v>
      </c>
      <c r="Q72" s="32">
        <f t="shared" si="6"/>
        <v>43</v>
      </c>
      <c r="R72" s="193">
        <f t="shared" si="6"/>
        <v>92</v>
      </c>
      <c r="S72" s="34">
        <f>IFERROR(Tableau1[[#This Row],[SUB TERTIAIRE]]/Tableau1[[#This Row],[POSTES DE TRAVAIL]],"")</f>
        <v>4.3966304347826091</v>
      </c>
      <c r="T72" s="34">
        <f>IFERROR(Tableau1[[#This Row],[SUB TERTIAIRE]]/Tableau1[[#This Row],[RESIDENTS]],"")</f>
        <v>9.4067441860465113</v>
      </c>
      <c r="U72" s="35">
        <f>IFERROR(Tableau1[[#This Row],[SUN]]/Tableau1[[#This Row],[SUB GENERALE]],"")</f>
        <v>0.72413793103448287</v>
      </c>
    </row>
    <row r="73" spans="2:26" ht="15" thickTop="1" x14ac:dyDescent="0.3">
      <c r="B73" s="10">
        <v>519192</v>
      </c>
      <c r="C73" s="10" t="s">
        <v>118</v>
      </c>
      <c r="D73" s="10" t="s">
        <v>23</v>
      </c>
      <c r="E73" s="10" t="s">
        <v>32</v>
      </c>
      <c r="F73" s="10" t="s">
        <v>25</v>
      </c>
      <c r="G73" s="10" t="s">
        <v>26</v>
      </c>
      <c r="H73" s="10" t="s">
        <v>119</v>
      </c>
      <c r="I73" s="10" t="s">
        <v>89</v>
      </c>
      <c r="J73" s="10"/>
      <c r="K73" s="137">
        <v>4968</v>
      </c>
      <c r="L73" s="134">
        <f>Tableau1[[#This Row],[SPL (SDP)]]*0.87</f>
        <v>4322.16</v>
      </c>
      <c r="M73" s="134">
        <v>678.94</v>
      </c>
      <c r="N73" s="134">
        <f>Tableau1[[#This Row],[SPL (SDP)]]*0.63</f>
        <v>3129.84</v>
      </c>
      <c r="O73" s="184">
        <v>491.65</v>
      </c>
      <c r="P73" s="10"/>
      <c r="Q73" s="10">
        <v>122.2</v>
      </c>
      <c r="R73" s="191">
        <v>35</v>
      </c>
      <c r="S73" s="31">
        <f>IFERROR(Tableau1[[#This Row],[SUB TERTIAIRE]]/Tableau1[[#This Row],[POSTES DE TRAVAIL]],"")</f>
        <v>19.398285714285716</v>
      </c>
      <c r="T73" s="31">
        <f>IFERROR(Tableau1[[#This Row],[SUB TERTIAIRE]]/Tableau1[[#This Row],[RESIDENTS]],"")</f>
        <v>5.5559738134206222</v>
      </c>
      <c r="U73" s="31">
        <f>Tableau1[[#This Row],[SUN]]/Tableau1[[#This Row],[SUB GENERALE]]</f>
        <v>0.72413793103448276</v>
      </c>
      <c r="V73"/>
      <c r="W73"/>
      <c r="Z73"/>
    </row>
    <row r="74" spans="2:26" s="23" customFormat="1" ht="15" thickBot="1" x14ac:dyDescent="0.35">
      <c r="B74" s="32" t="s">
        <v>120</v>
      </c>
      <c r="C74" s="32"/>
      <c r="D74" s="32"/>
      <c r="E74" s="32"/>
      <c r="F74" s="33"/>
      <c r="G74" s="32"/>
      <c r="H74" s="32"/>
      <c r="I74" s="32"/>
      <c r="J74" s="32"/>
      <c r="K74" s="140">
        <f>K73</f>
        <v>4968</v>
      </c>
      <c r="L74" s="133">
        <f t="shared" ref="L74" si="7">L73</f>
        <v>4322.16</v>
      </c>
      <c r="M74" s="133">
        <f>M73</f>
        <v>678.94</v>
      </c>
      <c r="N74" s="133">
        <f t="shared" ref="N74:R74" si="8">N73</f>
        <v>3129.84</v>
      </c>
      <c r="O74" s="183">
        <f>O73</f>
        <v>491.65</v>
      </c>
      <c r="P74" s="32">
        <f t="shared" si="8"/>
        <v>0</v>
      </c>
      <c r="Q74" s="32">
        <f t="shared" si="8"/>
        <v>122.2</v>
      </c>
      <c r="R74" s="193">
        <f t="shared" si="8"/>
        <v>35</v>
      </c>
      <c r="S74" s="34">
        <f>IFERROR(Tableau1[[#This Row],[SUB TERTIAIRE]]/Tableau1[[#This Row],[POSTES DE TRAVAIL]],"")</f>
        <v>19.398285714285716</v>
      </c>
      <c r="T74" s="34">
        <f>IFERROR(Tableau1[[#This Row],[SUB TERTIAIRE]]/Tableau1[[#This Row],[RESIDENTS]],"")</f>
        <v>5.5559738134206222</v>
      </c>
      <c r="U74" s="35">
        <f>IFERROR(Tableau1[[#This Row],[SUN]]/Tableau1[[#This Row],[SUB GENERALE]],"")</f>
        <v>0.72413793103448276</v>
      </c>
    </row>
    <row r="75" spans="2:26" ht="15" thickTop="1" x14ac:dyDescent="0.3">
      <c r="B75" s="10">
        <v>508651</v>
      </c>
      <c r="C75" s="10" t="s">
        <v>121</v>
      </c>
      <c r="D75" s="10"/>
      <c r="E75" s="10"/>
      <c r="F75" s="10"/>
      <c r="G75" s="10" t="s">
        <v>26</v>
      </c>
      <c r="H75" s="10"/>
      <c r="I75" s="10" t="s">
        <v>89</v>
      </c>
      <c r="J75" s="10"/>
      <c r="K75" s="137">
        <v>6792</v>
      </c>
      <c r="L75" s="134">
        <f>Tableau1[[#This Row],[SPL (SDP)]]*0.87</f>
        <v>5909.04</v>
      </c>
      <c r="M75" s="134">
        <v>819.8</v>
      </c>
      <c r="N75" s="134">
        <v>819.8</v>
      </c>
      <c r="O75" s="184">
        <v>593.65</v>
      </c>
      <c r="P75" s="10"/>
      <c r="Q75" s="10">
        <v>158.6</v>
      </c>
      <c r="R75" s="191">
        <v>150</v>
      </c>
      <c r="S75" s="31">
        <f>IFERROR(Tableau1[[#This Row],[SUB TERTIAIRE]]/Tableau1[[#This Row],[POSTES DE TRAVAIL]],"")</f>
        <v>5.4653333333333327</v>
      </c>
      <c r="T75" s="31">
        <f>IFERROR(Tableau1[[#This Row],[SUB TERTIAIRE]]/Tableau1[[#This Row],[RESIDENTS]],"")</f>
        <v>5.1689785624211853</v>
      </c>
      <c r="U75" s="31">
        <f>Tableau1[[#This Row],[SUN]]/Tableau1[[#This Row],[SUB GENERALE]]</f>
        <v>0.13873657988438054</v>
      </c>
      <c r="V75"/>
      <c r="W75"/>
      <c r="Z75"/>
    </row>
    <row r="76" spans="2:26" s="23" customFormat="1" ht="15" thickBot="1" x14ac:dyDescent="0.35">
      <c r="B76" s="32" t="s">
        <v>122</v>
      </c>
      <c r="C76" s="32"/>
      <c r="D76" s="32"/>
      <c r="E76" s="32"/>
      <c r="F76" s="33"/>
      <c r="G76" s="32"/>
      <c r="H76" s="32"/>
      <c r="I76" s="32"/>
      <c r="J76" s="32"/>
      <c r="K76" s="140">
        <f t="shared" ref="K76" si="9">K75</f>
        <v>6792</v>
      </c>
      <c r="L76" s="133">
        <f t="shared" ref="L76" si="10">L75</f>
        <v>5909.04</v>
      </c>
      <c r="M76" s="133">
        <f>M75</f>
        <v>819.8</v>
      </c>
      <c r="N76" s="133">
        <f t="shared" ref="N76" si="11">N75</f>
        <v>819.8</v>
      </c>
      <c r="O76" s="177">
        <f>O75</f>
        <v>593.65</v>
      </c>
      <c r="P76" s="133">
        <f>P75</f>
        <v>0</v>
      </c>
      <c r="Q76" s="156">
        <f>Q75</f>
        <v>158.6</v>
      </c>
      <c r="R76" s="174">
        <f>R75</f>
        <v>150</v>
      </c>
      <c r="S76" s="34">
        <f>IFERROR(Tableau1[[#This Row],[SUB TERTIAIRE]]/Tableau1[[#This Row],[POSTES DE TRAVAIL]],"")</f>
        <v>5.4653333333333327</v>
      </c>
      <c r="T76" s="34">
        <f>IFERROR(Tableau1[[#This Row],[SUB TERTIAIRE]]/Tableau1[[#This Row],[RESIDENTS]],"")</f>
        <v>5.1689785624211853</v>
      </c>
      <c r="U76" s="35">
        <f>Tableau1[[#This Row],[SUN]]/Tableau1[[#This Row],[SUB GENERALE]]</f>
        <v>0.13873657988438054</v>
      </c>
    </row>
    <row r="77" spans="2:26" s="23" customFormat="1" ht="24.75" customHeight="1" thickTop="1" thickBot="1" x14ac:dyDescent="0.35">
      <c r="B77" s="38" t="s">
        <v>123</v>
      </c>
      <c r="C77" s="38"/>
      <c r="D77" s="38"/>
      <c r="E77" s="38"/>
      <c r="F77" s="39"/>
      <c r="G77" s="38"/>
      <c r="H77" s="38"/>
      <c r="I77" s="38"/>
      <c r="J77" s="38"/>
      <c r="K77" s="139">
        <f>$K$74+$K$72+$K$76</f>
        <v>19404</v>
      </c>
      <c r="L77" s="139">
        <f>$L$74+$L$72+$L$76</f>
        <v>16881.48</v>
      </c>
      <c r="M77" s="139">
        <f>$M$74+$M$72+$M$76</f>
        <v>1903.23</v>
      </c>
      <c r="N77" s="139">
        <f>$M$74+$M$72+$M$76</f>
        <v>1903.23</v>
      </c>
      <c r="O77" s="176">
        <f>$O$74+$O$72+$O$76</f>
        <v>1378.21</v>
      </c>
      <c r="P77" s="38">
        <f>$P$74+$P$72+$P$76</f>
        <v>0</v>
      </c>
      <c r="Q77" s="38">
        <f>$Q$74+$Q$72+$Q$76</f>
        <v>323.79999999999995</v>
      </c>
      <c r="R77" s="38">
        <f>$R$74+$R$72+$R$76</f>
        <v>277</v>
      </c>
      <c r="S77" s="40">
        <f>IFERROR(Tableau1[[#This Row],[SUB TERTIAIRE]]/Tableau1[[#This Row],[POSTES DE TRAVAIL]],"")</f>
        <v>6.8708664259927801</v>
      </c>
      <c r="T77" s="40">
        <f>IFERROR(Tableau1[[#This Row],[SUB TERTIAIRE]]/Tableau1[[#This Row],[RESIDENTS]],"")</f>
        <v>5.8777949351451522</v>
      </c>
      <c r="U77" s="41">
        <f>Tableau1[[#This Row],[SUN]]/Tableau1[[#This Row],[SUB GENERALE]]</f>
        <v>0.11274070756829378</v>
      </c>
    </row>
    <row r="78" spans="2:26" s="24" customFormat="1" ht="15" thickTop="1" x14ac:dyDescent="0.3">
      <c r="B78" s="10">
        <v>327732</v>
      </c>
      <c r="C78" s="10" t="s">
        <v>124</v>
      </c>
      <c r="D78" s="10" t="s">
        <v>23</v>
      </c>
      <c r="E78" s="10" t="s">
        <v>32</v>
      </c>
      <c r="F78" s="36" t="s">
        <v>25</v>
      </c>
      <c r="G78" s="10" t="s">
        <v>26</v>
      </c>
      <c r="H78" s="10" t="s">
        <v>125</v>
      </c>
      <c r="I78" s="10" t="s">
        <v>126</v>
      </c>
      <c r="J78" s="10"/>
      <c r="K78" s="137">
        <v>7508</v>
      </c>
      <c r="L78" s="134">
        <f>Tableau1[[#This Row],[SPL (SDP)]]*0.87</f>
        <v>6531.96</v>
      </c>
      <c r="M78" s="134">
        <v>678.27</v>
      </c>
      <c r="N78" s="134">
        <f>Tableau1[[#This Row],[SPL (SDP)]]*0.63</f>
        <v>4730.04</v>
      </c>
      <c r="O78" s="162">
        <v>491.16</v>
      </c>
      <c r="P78" s="10"/>
      <c r="Q78" s="10">
        <v>72</v>
      </c>
      <c r="R78" s="191">
        <v>82</v>
      </c>
      <c r="S78" s="31">
        <f>IFERROR(Tableau1[[#This Row],[SUB TERTIAIRE]]/Tableau1[[#This Row],[POSTES DE TRAVAIL]],"")</f>
        <v>8.2715853658536584</v>
      </c>
      <c r="T78" s="31">
        <f>IFERROR(Tableau1[[#This Row],[SUB TERTIAIRE]]/Tableau1[[#This Row],[RESIDENTS]],"")</f>
        <v>9.4204166666666662</v>
      </c>
      <c r="U78" s="37">
        <f>Tableau1[[#This Row],[SUN]]/Tableau1[[#This Row],[SUB GENERALE]]</f>
        <v>0.72413793103448276</v>
      </c>
    </row>
    <row r="79" spans="2:26" s="24" customFormat="1" x14ac:dyDescent="0.3">
      <c r="B79" s="10">
        <v>327732</v>
      </c>
      <c r="C79" s="10" t="s">
        <v>127</v>
      </c>
      <c r="D79" s="10" t="s">
        <v>23</v>
      </c>
      <c r="E79" s="10" t="s">
        <v>35</v>
      </c>
      <c r="F79" s="36" t="s">
        <v>25</v>
      </c>
      <c r="G79" s="10" t="s">
        <v>26</v>
      </c>
      <c r="H79" s="10" t="s">
        <v>125</v>
      </c>
      <c r="I79" s="10" t="s">
        <v>126</v>
      </c>
      <c r="J79" s="10"/>
      <c r="K79" s="137">
        <v>9897</v>
      </c>
      <c r="L79" s="134">
        <f>Tableau1[[#This Row],[SPL (SDP)]]*0.87</f>
        <v>8610.39</v>
      </c>
      <c r="M79" s="134">
        <v>1086.92</v>
      </c>
      <c r="N79" s="134">
        <f>Tableau1[[#This Row],[SPL (SDP)]]*0.63</f>
        <v>6235.11</v>
      </c>
      <c r="O79" s="162">
        <v>862.04</v>
      </c>
      <c r="P79" s="10"/>
      <c r="Q79" s="10">
        <v>296</v>
      </c>
      <c r="R79" s="191">
        <v>694</v>
      </c>
      <c r="S79" s="31">
        <f>IFERROR(Tableau1[[#This Row],[SUB TERTIAIRE]]/Tableau1[[#This Row],[POSTES DE TRAVAIL]],"")</f>
        <v>1.5661671469740635</v>
      </c>
      <c r="T79" s="31">
        <f>IFERROR(Tableau1[[#This Row],[SUB TERTIAIRE]]/Tableau1[[#This Row],[RESIDENTS]],"")</f>
        <v>3.6720270270270272</v>
      </c>
      <c r="U79" s="37">
        <f>Tableau1[[#This Row],[SUN]]/Tableau1[[#This Row],[SUB GENERALE]]</f>
        <v>0.72413793103448276</v>
      </c>
    </row>
    <row r="80" spans="2:26" s="24" customFormat="1" x14ac:dyDescent="0.3">
      <c r="B80" s="10">
        <v>390447</v>
      </c>
      <c r="C80" s="10" t="s">
        <v>128</v>
      </c>
      <c r="D80" s="10"/>
      <c r="E80" s="10"/>
      <c r="F80" s="36"/>
      <c r="G80" s="10"/>
      <c r="H80" s="10"/>
      <c r="I80" s="10"/>
      <c r="J80" s="10"/>
      <c r="K80" s="137">
        <v>460</v>
      </c>
      <c r="L80" s="134">
        <f>Tableau1[[#This Row],[SPL (SDP)]]*0.87</f>
        <v>400.2</v>
      </c>
      <c r="M80" s="134">
        <v>187.99</v>
      </c>
      <c r="N80" s="134">
        <f>Tableau1[[#This Row],[SPL (SDP)]]*0.63</f>
        <v>289.8</v>
      </c>
      <c r="O80" s="162">
        <v>149.1</v>
      </c>
      <c r="P80" s="10"/>
      <c r="Q80" s="10">
        <v>6</v>
      </c>
      <c r="R80" s="191">
        <v>12</v>
      </c>
      <c r="S80" s="31">
        <f>IFERROR(Tableau1[[#This Row],[SUB TERTIAIRE]]/Tableau1[[#This Row],[POSTES DE TRAVAIL]],"")</f>
        <v>15.665833333333333</v>
      </c>
      <c r="T80" s="31">
        <f>IFERROR(Tableau1[[#This Row],[SUB TERTIAIRE]]/Tableau1[[#This Row],[RESIDENTS]],"")</f>
        <v>31.331666666666667</v>
      </c>
      <c r="U80" s="37">
        <f>Tableau1[[#This Row],[SUN]]/Tableau1[[#This Row],[SUB GENERALE]]</f>
        <v>0.72413793103448276</v>
      </c>
    </row>
    <row r="81" spans="2:26" s="24" customFormat="1" x14ac:dyDescent="0.3">
      <c r="B81" s="10" t="s">
        <v>37</v>
      </c>
      <c r="C81" s="10" t="s">
        <v>129</v>
      </c>
      <c r="D81" s="10" t="s">
        <v>23</v>
      </c>
      <c r="E81" s="10" t="s">
        <v>35</v>
      </c>
      <c r="F81" s="36" t="s">
        <v>130</v>
      </c>
      <c r="G81" s="10" t="s">
        <v>131</v>
      </c>
      <c r="H81" s="10" t="s">
        <v>132</v>
      </c>
      <c r="I81" s="10" t="s">
        <v>133</v>
      </c>
      <c r="J81" s="10"/>
      <c r="K81" s="137">
        <v>122</v>
      </c>
      <c r="L81" s="134">
        <f>Tableau1[[#This Row],[SPL (SDP)]]*0.87</f>
        <v>106.14</v>
      </c>
      <c r="M81" s="134"/>
      <c r="N81" s="134">
        <f>Tableau1[[#This Row],[SPL (SDP)]]*0.63</f>
        <v>76.86</v>
      </c>
      <c r="O81" s="162">
        <v>0</v>
      </c>
      <c r="P81" s="10"/>
      <c r="Q81" s="10">
        <v>2</v>
      </c>
      <c r="R81" s="191">
        <v>3</v>
      </c>
      <c r="S81" s="31">
        <f>IFERROR(Tableau1[[#This Row],[SUB TERTIAIRE]]/Tableau1[[#This Row],[POSTES DE TRAVAIL]],"")</f>
        <v>0</v>
      </c>
      <c r="T81" s="31">
        <f>IFERROR(Tableau1[[#This Row],[SUB TERTIAIRE]]/Tableau1[[#This Row],[RESIDENTS]],"")</f>
        <v>0</v>
      </c>
      <c r="U81" s="37">
        <f>Tableau1[[#This Row],[SUN]]/Tableau1[[#This Row],[SUB GENERALE]]</f>
        <v>0.72413793103448276</v>
      </c>
    </row>
    <row r="82" spans="2:26" s="24" customFormat="1" x14ac:dyDescent="0.3">
      <c r="B82" s="10" t="s">
        <v>64</v>
      </c>
      <c r="C82" s="10" t="s">
        <v>134</v>
      </c>
      <c r="D82" s="10" t="s">
        <v>23</v>
      </c>
      <c r="E82" s="10" t="s">
        <v>35</v>
      </c>
      <c r="F82" s="36" t="s">
        <v>135</v>
      </c>
      <c r="G82" s="10" t="s">
        <v>131</v>
      </c>
      <c r="H82" s="10" t="s">
        <v>132</v>
      </c>
      <c r="I82" s="10" t="s">
        <v>133</v>
      </c>
      <c r="J82" s="10"/>
      <c r="K82" s="137">
        <v>2403</v>
      </c>
      <c r="L82" s="134">
        <f>Tableau1[[#This Row],[SPL (SDP)]]*0.87</f>
        <v>2090.61</v>
      </c>
      <c r="M82" s="134">
        <v>87.85</v>
      </c>
      <c r="N82" s="134">
        <f>Tableau1[[#This Row],[SPL (SDP)]]*0.63</f>
        <v>1513.89</v>
      </c>
      <c r="O82" s="162">
        <v>69.680000000000007</v>
      </c>
      <c r="P82" s="10"/>
      <c r="Q82" s="10">
        <v>17.600000000000001</v>
      </c>
      <c r="R82" s="191">
        <v>20</v>
      </c>
      <c r="S82" s="31">
        <f>IFERROR(Tableau1[[#This Row],[SUB TERTIAIRE]]/Tableau1[[#This Row],[POSTES DE TRAVAIL]],"")</f>
        <v>4.3925000000000001</v>
      </c>
      <c r="T82" s="31">
        <f>IFERROR(Tableau1[[#This Row],[SUB TERTIAIRE]]/Tableau1[[#This Row],[RESIDENTS]],"")</f>
        <v>4.9914772727272716</v>
      </c>
      <c r="U82" s="37">
        <f>Tableau1[[#This Row],[SUN]]/Tableau1[[#This Row],[SUB GENERALE]]</f>
        <v>0.72413793103448276</v>
      </c>
    </row>
    <row r="83" spans="2:26" s="24" customFormat="1" x14ac:dyDescent="0.3">
      <c r="B83" s="10" t="s">
        <v>37</v>
      </c>
      <c r="C83" s="10" t="s">
        <v>136</v>
      </c>
      <c r="D83" s="10"/>
      <c r="E83" s="10"/>
      <c r="F83" s="36"/>
      <c r="G83" s="10"/>
      <c r="H83" s="10"/>
      <c r="I83" s="10"/>
      <c r="J83" s="10"/>
      <c r="K83" s="137">
        <v>785</v>
      </c>
      <c r="L83" s="134">
        <f>Tableau1[[#This Row],[SPL (SDP)]]*0.87</f>
        <v>682.95</v>
      </c>
      <c r="M83" s="134">
        <v>150.26</v>
      </c>
      <c r="N83" s="134">
        <f>Tableau1[[#This Row],[SPL (SDP)]]*0.63</f>
        <v>494.55</v>
      </c>
      <c r="O83" s="162">
        <v>119.17</v>
      </c>
      <c r="P83" s="10"/>
      <c r="Q83" s="10">
        <v>5</v>
      </c>
      <c r="R83" s="191">
        <v>2</v>
      </c>
      <c r="S83" s="31">
        <f>IFERROR(Tableau1[[#This Row],[SUB TERTIAIRE]]/Tableau1[[#This Row],[POSTES DE TRAVAIL]],"")</f>
        <v>75.13</v>
      </c>
      <c r="T83" s="31">
        <f>IFERROR(Tableau1[[#This Row],[SUB TERTIAIRE]]/Tableau1[[#This Row],[RESIDENTS]],"")</f>
        <v>30.052</v>
      </c>
      <c r="U83" s="37">
        <f>Tableau1[[#This Row],[SUN]]/Tableau1[[#This Row],[SUB GENERALE]]</f>
        <v>0.72413793103448276</v>
      </c>
    </row>
    <row r="84" spans="2:26" s="23" customFormat="1" ht="15" thickBot="1" x14ac:dyDescent="0.35">
      <c r="B84" s="32" t="s">
        <v>137</v>
      </c>
      <c r="C84" s="32"/>
      <c r="D84" s="32"/>
      <c r="E84" s="32"/>
      <c r="F84" s="33"/>
      <c r="G84" s="32"/>
      <c r="H84" s="32"/>
      <c r="I84" s="32"/>
      <c r="J84" s="32"/>
      <c r="K84" s="140">
        <f>SUBTOTAL(9,K78:K83)</f>
        <v>21175</v>
      </c>
      <c r="L84" s="133">
        <f t="shared" ref="L84" si="12">SUBTOTAL(9,L78:L83)</f>
        <v>18422.25</v>
      </c>
      <c r="M84" s="133">
        <f t="shared" ref="M84:R84" si="13">SUBTOTAL(9,M78:M83)</f>
        <v>2191.29</v>
      </c>
      <c r="N84" s="133">
        <f t="shared" si="13"/>
        <v>13340.249999999998</v>
      </c>
      <c r="O84" s="183">
        <f t="shared" si="13"/>
        <v>1691.15</v>
      </c>
      <c r="P84" s="32">
        <f t="shared" si="13"/>
        <v>0</v>
      </c>
      <c r="Q84" s="32">
        <f t="shared" si="13"/>
        <v>398.6</v>
      </c>
      <c r="R84" s="193">
        <f t="shared" si="13"/>
        <v>813</v>
      </c>
      <c r="S84" s="34">
        <f>IFERROR(Tableau1[[#This Row],[SUB TERTIAIRE]]/Tableau1[[#This Row],[POSTES DE TRAVAIL]],"")</f>
        <v>2.6953136531365312</v>
      </c>
      <c r="T84" s="34">
        <f>IFERROR(Tableau1[[#This Row],[SUB TERTIAIRE]]/Tableau1[[#This Row],[RESIDENTS]],"")</f>
        <v>5.4974661314601097</v>
      </c>
      <c r="U84" s="35">
        <f>IFERROR(Tableau1[[#This Row],[SUN]]/Tableau1[[#This Row],[SUB GENERALE]],"")</f>
        <v>0.72413793103448265</v>
      </c>
    </row>
    <row r="85" spans="2:26" ht="15.6" thickTop="1" thickBot="1" x14ac:dyDescent="0.35">
      <c r="B85" s="10">
        <v>393610</v>
      </c>
      <c r="C85" s="10" t="s">
        <v>138</v>
      </c>
      <c r="D85" s="10" t="s">
        <v>23</v>
      </c>
      <c r="E85" s="10" t="s">
        <v>32</v>
      </c>
      <c r="F85" s="10" t="s">
        <v>139</v>
      </c>
      <c r="G85" s="10" t="s">
        <v>140</v>
      </c>
      <c r="H85" s="10" t="s">
        <v>141</v>
      </c>
      <c r="I85" s="10" t="s">
        <v>89</v>
      </c>
      <c r="J85" s="10"/>
      <c r="K85" s="137">
        <v>4176</v>
      </c>
      <c r="L85" s="134">
        <f>Tableau1[[#This Row],[SPL (SDP)]]*0.87</f>
        <v>3633.12</v>
      </c>
      <c r="M85" s="134">
        <v>751.14</v>
      </c>
      <c r="N85" s="134">
        <f>Tableau1[[#This Row],[SPL (SDP)]]*0.63</f>
        <v>2630.88</v>
      </c>
      <c r="O85" s="184">
        <v>543.92999999999995</v>
      </c>
      <c r="P85" s="10"/>
      <c r="Q85" s="10">
        <v>160</v>
      </c>
      <c r="R85" s="191">
        <v>343</v>
      </c>
      <c r="S85" s="31">
        <f>IFERROR(Tableau1[[#This Row],[SUN TERTAIRE]]/Tableau1[[#This Row],[POSTES DE TRAVAIL]],"")</f>
        <v>1.5858017492711369</v>
      </c>
      <c r="T85" s="34">
        <f>IFERROR(Tableau1[[#This Row],[SUB TERTIAIRE]]/Tableau1[[#This Row],[RESIDENTS]],"")</f>
        <v>4.6946250000000003</v>
      </c>
      <c r="U85" s="31">
        <f>Tableau1[[#This Row],[SUN]]/Tableau1[[#This Row],[SUB GENERALE]]</f>
        <v>0.72413793103448276</v>
      </c>
      <c r="V85"/>
      <c r="W85"/>
      <c r="Z85"/>
    </row>
    <row r="86" spans="2:26" s="23" customFormat="1" ht="15.6" thickTop="1" thickBot="1" x14ac:dyDescent="0.35">
      <c r="B86" s="32" t="s">
        <v>138</v>
      </c>
      <c r="C86" s="32"/>
      <c r="D86" s="32"/>
      <c r="E86" s="32"/>
      <c r="F86" s="33"/>
      <c r="G86" s="32"/>
      <c r="H86" s="32"/>
      <c r="I86" s="32"/>
      <c r="J86" s="32"/>
      <c r="K86" s="140">
        <f>K85</f>
        <v>4176</v>
      </c>
      <c r="L86" s="133">
        <f t="shared" ref="L86" si="14">L85</f>
        <v>3633.12</v>
      </c>
      <c r="M86" s="133">
        <f>M85</f>
        <v>751.14</v>
      </c>
      <c r="N86" s="133">
        <f t="shared" ref="N86:R86" si="15">N85</f>
        <v>2630.88</v>
      </c>
      <c r="O86" s="183">
        <f>O85</f>
        <v>543.92999999999995</v>
      </c>
      <c r="P86" s="32">
        <f t="shared" si="15"/>
        <v>0</v>
      </c>
      <c r="Q86" s="32">
        <f t="shared" si="15"/>
        <v>160</v>
      </c>
      <c r="R86" s="193">
        <f t="shared" si="15"/>
        <v>343</v>
      </c>
      <c r="S86" s="34">
        <f>IFERROR(Tableau1[[#This Row],[SUB TERTIAIRE]]/Tableau1[[#This Row],[POSTES DE TRAVAIL]],"")</f>
        <v>2.1899125364431486</v>
      </c>
      <c r="T86" s="34">
        <f>IFERROR(Tableau1[[#This Row],[SUB TERTIAIRE]]/Tableau1[[#This Row],[RESIDENTS]],"")</f>
        <v>4.6946250000000003</v>
      </c>
      <c r="U86" s="35">
        <f>IFERROR(Tableau1[[#This Row],[SUN]]/Tableau1[[#This Row],[SUB GENERALE]],"")</f>
        <v>0.72413793103448276</v>
      </c>
    </row>
    <row r="87" spans="2:26" s="23" customFormat="1" ht="24.75" customHeight="1" thickTop="1" thickBot="1" x14ac:dyDescent="0.35">
      <c r="B87" s="38" t="s">
        <v>142</v>
      </c>
      <c r="C87" s="38"/>
      <c r="D87" s="38"/>
      <c r="E87" s="38"/>
      <c r="F87" s="39"/>
      <c r="G87" s="38"/>
      <c r="H87" s="38"/>
      <c r="I87" s="38"/>
      <c r="J87" s="38"/>
      <c r="K87" s="139">
        <f t="shared" ref="K87:R87" si="16">K86+K84</f>
        <v>25351</v>
      </c>
      <c r="L87" s="139">
        <f t="shared" si="16"/>
        <v>22055.37</v>
      </c>
      <c r="M87" s="139">
        <f t="shared" si="16"/>
        <v>2942.43</v>
      </c>
      <c r="N87" s="139">
        <f t="shared" si="16"/>
        <v>15971.129999999997</v>
      </c>
      <c r="O87" s="176">
        <f t="shared" si="16"/>
        <v>2235.08</v>
      </c>
      <c r="P87" s="38">
        <f t="shared" si="16"/>
        <v>0</v>
      </c>
      <c r="Q87" s="38">
        <f t="shared" si="16"/>
        <v>558.6</v>
      </c>
      <c r="R87" s="38">
        <f t="shared" si="16"/>
        <v>1156</v>
      </c>
      <c r="S87" s="40">
        <f>IFERROR(Tableau1[[#This Row],[SUB TERTIAIRE]]/Tableau1[[#This Row],[POSTES DE TRAVAIL]],"")</f>
        <v>2.5453546712802768</v>
      </c>
      <c r="T87" s="40">
        <f>IFERROR(Tableau1[[#This Row],[SUB TERTIAIRE]]/Tableau1[[#This Row],[RESIDENTS]],"")</f>
        <v>5.26750805585392</v>
      </c>
      <c r="U87" s="41">
        <f>Tableau1[[#This Row],[SUN]]/Tableau1[[#This Row],[SUB GENERALE]]</f>
        <v>0.72413793103448265</v>
      </c>
    </row>
    <row r="88" spans="2:26" ht="34.950000000000003" customHeight="1" thickTop="1" x14ac:dyDescent="0.3">
      <c r="B88" s="10">
        <v>337105</v>
      </c>
      <c r="C88" s="10" t="s">
        <v>143</v>
      </c>
      <c r="D88" s="10" t="s">
        <v>23</v>
      </c>
      <c r="E88" s="10" t="s">
        <v>32</v>
      </c>
      <c r="F88" s="10" t="s">
        <v>25</v>
      </c>
      <c r="G88" s="10" t="s">
        <v>144</v>
      </c>
      <c r="H88" s="10" t="s">
        <v>145</v>
      </c>
      <c r="I88" s="10" t="s">
        <v>146</v>
      </c>
      <c r="J88" s="10"/>
      <c r="K88" s="137">
        <v>5577</v>
      </c>
      <c r="L88" s="134">
        <f>Tableau1[[#This Row],[SPL (SDP)]]*0.87</f>
        <v>4851.99</v>
      </c>
      <c r="M88" s="134">
        <v>161.72</v>
      </c>
      <c r="N88" s="134">
        <f>Tableau1[[#This Row],[SPL (SDP)]]*0.63</f>
        <v>3513.51</v>
      </c>
      <c r="O88" s="182">
        <v>117.11</v>
      </c>
      <c r="P88" s="10"/>
      <c r="Q88" s="10">
        <v>28</v>
      </c>
      <c r="R88" s="191">
        <v>40</v>
      </c>
      <c r="S88" s="31">
        <f>IFERROR(Tableau1[[#This Row],[SUB TERTIAIRE]]/Tableau1[[#This Row],[POSTES DE TRAVAIL]],"")</f>
        <v>4.0430000000000001</v>
      </c>
      <c r="T88" s="31">
        <f>IFERROR(Tableau1[[#This Row],[SUB TERTIAIRE]]/Tableau1[[#This Row],[RESIDENTS]],"")</f>
        <v>5.7757142857142858</v>
      </c>
      <c r="U88" s="31">
        <f>Tableau1[[#This Row],[SUN]]/Tableau1[[#This Row],[SUB GENERALE]]</f>
        <v>0.72413793103448287</v>
      </c>
      <c r="V88"/>
      <c r="W88"/>
      <c r="Z88"/>
    </row>
    <row r="89" spans="2:26" s="23" customFormat="1" ht="15" thickBot="1" x14ac:dyDescent="0.35">
      <c r="B89" s="32" t="s">
        <v>143</v>
      </c>
      <c r="C89" s="32"/>
      <c r="D89" s="32"/>
      <c r="E89" s="32"/>
      <c r="F89" s="33"/>
      <c r="G89" s="32"/>
      <c r="H89" s="32"/>
      <c r="I89" s="32"/>
      <c r="J89" s="32"/>
      <c r="K89" s="140">
        <f>K88</f>
        <v>5577</v>
      </c>
      <c r="L89" s="133">
        <f t="shared" ref="L89" si="17">L88</f>
        <v>4851.99</v>
      </c>
      <c r="M89" s="133">
        <f>M88</f>
        <v>161.72</v>
      </c>
      <c r="N89" s="133">
        <f t="shared" ref="N89:R89" si="18">N88</f>
        <v>3513.51</v>
      </c>
      <c r="O89" s="183">
        <f>O88</f>
        <v>117.11</v>
      </c>
      <c r="P89" s="32">
        <f t="shared" si="18"/>
        <v>0</v>
      </c>
      <c r="Q89" s="32">
        <f t="shared" si="18"/>
        <v>28</v>
      </c>
      <c r="R89" s="193">
        <f t="shared" si="18"/>
        <v>40</v>
      </c>
      <c r="S89" s="34">
        <f>IFERROR(Tableau1[[#This Row],[SUB TERTIAIRE]]/Tableau1[[#This Row],[POSTES DE TRAVAIL]],"")</f>
        <v>4.0430000000000001</v>
      </c>
      <c r="T89" s="34">
        <f>IFERROR(Tableau1[[#This Row],[SUB TERTIAIRE]]/Tableau1[[#This Row],[RESIDENTS]],"")</f>
        <v>5.7757142857142858</v>
      </c>
      <c r="U89" s="35">
        <f>IFERROR(Tableau1[[#This Row],[SUN]]/Tableau1[[#This Row],[SUB GENERALE]],"")</f>
        <v>0.72413793103448287</v>
      </c>
    </row>
    <row r="90" spans="2:26" ht="15" thickTop="1" x14ac:dyDescent="0.3">
      <c r="B90" s="10">
        <v>329622</v>
      </c>
      <c r="C90" s="10" t="s">
        <v>147</v>
      </c>
      <c r="D90" s="10" t="s">
        <v>23</v>
      </c>
      <c r="E90" s="10" t="s">
        <v>32</v>
      </c>
      <c r="F90" s="10" t="s">
        <v>25</v>
      </c>
      <c r="G90" s="10" t="s">
        <v>144</v>
      </c>
      <c r="H90" s="10" t="s">
        <v>148</v>
      </c>
      <c r="I90" s="10" t="s">
        <v>149</v>
      </c>
      <c r="J90" s="10"/>
      <c r="K90" s="137">
        <v>8190</v>
      </c>
      <c r="L90" s="134">
        <f>Tableau1[[#This Row],[SPL (SDP)]]*0.87</f>
        <v>7125.3</v>
      </c>
      <c r="M90" s="134">
        <v>1170.56</v>
      </c>
      <c r="N90" s="134">
        <f>Tableau1[[#This Row],[SPL (SDP)]]*0.63</f>
        <v>5159.7</v>
      </c>
      <c r="O90" s="184">
        <v>847.65</v>
      </c>
      <c r="P90" s="10"/>
      <c r="Q90" s="10">
        <v>166</v>
      </c>
      <c r="R90" s="191">
        <v>102</v>
      </c>
      <c r="S90" s="31">
        <f>IFERROR(Tableau1[[#This Row],[SUB TERTIAIRE]]/Tableau1[[#This Row],[POSTES DE TRAVAIL]],"")</f>
        <v>11.476078431372548</v>
      </c>
      <c r="T90" s="31">
        <f>IFERROR(Tableau1[[#This Row],[SUB TERTIAIRE]]/Tableau1[[#This Row],[RESIDENTS]],"")</f>
        <v>7.0515662650602406</v>
      </c>
      <c r="U90" s="31">
        <f>Tableau1[[#This Row],[SUN]]/Tableau1[[#This Row],[SUB GENERALE]]</f>
        <v>0.72413793103448276</v>
      </c>
      <c r="V90"/>
      <c r="W90"/>
      <c r="Z90"/>
    </row>
    <row r="91" spans="2:26" s="23" customFormat="1" ht="15" thickBot="1" x14ac:dyDescent="0.35">
      <c r="B91" s="32" t="s">
        <v>147</v>
      </c>
      <c r="C91" s="32"/>
      <c r="D91" s="32"/>
      <c r="E91" s="32"/>
      <c r="F91" s="33"/>
      <c r="G91" s="32"/>
      <c r="H91" s="32"/>
      <c r="I91" s="32"/>
      <c r="J91" s="32"/>
      <c r="K91" s="140">
        <f>K90</f>
        <v>8190</v>
      </c>
      <c r="L91" s="133">
        <f t="shared" ref="L91" si="19">L90</f>
        <v>7125.3</v>
      </c>
      <c r="M91" s="208">
        <f>M90</f>
        <v>1170.56</v>
      </c>
      <c r="N91" s="133">
        <f t="shared" ref="N91:R91" si="20">N90</f>
        <v>5159.7</v>
      </c>
      <c r="O91" s="183">
        <f>O90</f>
        <v>847.65</v>
      </c>
      <c r="P91" s="32">
        <f t="shared" si="20"/>
        <v>0</v>
      </c>
      <c r="Q91" s="32">
        <f t="shared" si="20"/>
        <v>166</v>
      </c>
      <c r="R91" s="193">
        <f t="shared" si="20"/>
        <v>102</v>
      </c>
      <c r="S91" s="34">
        <f>IFERROR(Tableau1[[#This Row],[SUB TERTIAIRE]]/Tableau1[[#This Row],[POSTES DE TRAVAIL]],"")</f>
        <v>11.476078431372548</v>
      </c>
      <c r="T91" s="34">
        <f>IFERROR(Tableau1[[#This Row],[SUB TERTIAIRE]]/Tableau1[[#This Row],[RESIDENTS]],"")</f>
        <v>7.0515662650602406</v>
      </c>
      <c r="U91" s="35">
        <f>IFERROR(Tableau1[[#This Row],[SUN]]/Tableau1[[#This Row],[SUB GENERALE]],"")</f>
        <v>0.72413793103448276</v>
      </c>
    </row>
    <row r="92" spans="2:26" ht="15" thickTop="1" x14ac:dyDescent="0.3">
      <c r="B92" s="10">
        <v>332363</v>
      </c>
      <c r="C92" s="10" t="s">
        <v>150</v>
      </c>
      <c r="D92" s="10" t="s">
        <v>23</v>
      </c>
      <c r="E92" s="10" t="s">
        <v>32</v>
      </c>
      <c r="F92" s="10" t="s">
        <v>25</v>
      </c>
      <c r="G92" s="10" t="s">
        <v>26</v>
      </c>
      <c r="H92" s="10" t="s">
        <v>151</v>
      </c>
      <c r="I92" s="10" t="s">
        <v>152</v>
      </c>
      <c r="J92" s="10"/>
      <c r="K92" s="137">
        <v>2841</v>
      </c>
      <c r="L92" s="134">
        <f>Tableau1[[#This Row],[SPL (SDP)]]*0.87</f>
        <v>2471.67</v>
      </c>
      <c r="M92" s="134">
        <v>77.959999999999994</v>
      </c>
      <c r="N92" s="134">
        <f>Tableau1[[#This Row],[SPL (SDP)]]*0.63</f>
        <v>1789.83</v>
      </c>
      <c r="O92" s="184">
        <v>56.45</v>
      </c>
      <c r="P92" s="10"/>
      <c r="Q92" s="10">
        <v>21</v>
      </c>
      <c r="R92" s="191">
        <v>16</v>
      </c>
      <c r="S92" s="31">
        <f>IFERROR(Tableau1[[#This Row],[SUB TERTIAIRE]]/Tableau1[[#This Row],[POSTES DE TRAVAIL]],"")</f>
        <v>4.8724999999999996</v>
      </c>
      <c r="T92" s="31">
        <f>IFERROR(Tableau1[[#This Row],[SUB TERTIAIRE]]/Tableau1[[#This Row],[RESIDENTS]],"")</f>
        <v>3.7123809523809519</v>
      </c>
      <c r="U92" s="31">
        <f>Tableau1[[#This Row],[SUN]]/Tableau1[[#This Row],[SUB GENERALE]]</f>
        <v>0.72413793103448276</v>
      </c>
      <c r="V92"/>
      <c r="W92"/>
      <c r="Z92"/>
    </row>
    <row r="93" spans="2:26" s="23" customFormat="1" ht="15" thickBot="1" x14ac:dyDescent="0.35">
      <c r="B93" s="32" t="s">
        <v>153</v>
      </c>
      <c r="C93" s="32"/>
      <c r="D93" s="32"/>
      <c r="E93" s="32"/>
      <c r="F93" s="33"/>
      <c r="G93" s="32"/>
      <c r="H93" s="32"/>
      <c r="I93" s="32"/>
      <c r="J93" s="32"/>
      <c r="K93" s="140">
        <f>K92</f>
        <v>2841</v>
      </c>
      <c r="L93" s="133">
        <f t="shared" ref="L93" si="21">L92</f>
        <v>2471.67</v>
      </c>
      <c r="M93" s="133">
        <f>M92</f>
        <v>77.959999999999994</v>
      </c>
      <c r="N93" s="133">
        <f t="shared" ref="N93:R93" si="22">N92</f>
        <v>1789.83</v>
      </c>
      <c r="O93" s="183">
        <f>O92</f>
        <v>56.45</v>
      </c>
      <c r="P93" s="32">
        <f t="shared" si="22"/>
        <v>0</v>
      </c>
      <c r="Q93" s="32">
        <f t="shared" si="22"/>
        <v>21</v>
      </c>
      <c r="R93" s="193">
        <f t="shared" si="22"/>
        <v>16</v>
      </c>
      <c r="S93" s="34">
        <f>IFERROR(Tableau1[[#This Row],[SUB TERTIAIRE]]/Tableau1[[#This Row],[POSTES DE TRAVAIL]],"")</f>
        <v>4.8724999999999996</v>
      </c>
      <c r="T93" s="34">
        <f>IFERROR(Tableau1[[#This Row],[SUB TERTIAIRE]]/Tableau1[[#This Row],[RESIDENTS]],"")</f>
        <v>3.7123809523809519</v>
      </c>
      <c r="U93" s="35">
        <f>IFERROR(Tableau1[[#This Row],[SUN]]/Tableau1[[#This Row],[SUB GENERALE]],"")</f>
        <v>0.72413793103448276</v>
      </c>
    </row>
    <row r="94" spans="2:26" ht="15" thickTop="1" x14ac:dyDescent="0.3">
      <c r="B94" s="10">
        <v>333029</v>
      </c>
      <c r="C94" s="10" t="s">
        <v>154</v>
      </c>
      <c r="D94" s="10" t="s">
        <v>23</v>
      </c>
      <c r="E94" s="10" t="s">
        <v>32</v>
      </c>
      <c r="F94" s="10" t="s">
        <v>155</v>
      </c>
      <c r="G94" s="10" t="s">
        <v>156</v>
      </c>
      <c r="H94" s="10" t="s">
        <v>157</v>
      </c>
      <c r="I94" s="10" t="s">
        <v>158</v>
      </c>
      <c r="J94" s="10"/>
      <c r="K94" s="137">
        <v>2304</v>
      </c>
      <c r="L94" s="134">
        <f>Tableau1[[#This Row],[SPL (SDP)]]*0.87</f>
        <v>2004.48</v>
      </c>
      <c r="M94" s="134">
        <v>76.37</v>
      </c>
      <c r="N94" s="134">
        <f>Tableau1[[#This Row],[SPL (SDP)]]*0.63</f>
        <v>1451.52</v>
      </c>
      <c r="O94" s="184">
        <v>55.3</v>
      </c>
      <c r="P94" s="10"/>
      <c r="Q94" s="10">
        <v>12</v>
      </c>
      <c r="R94" s="191">
        <v>20</v>
      </c>
      <c r="S94" s="31">
        <f>IFERROR(Tableau1[[#This Row],[SUB TERTIAIRE]]/Tableau1[[#This Row],[POSTES DE TRAVAIL]],"")</f>
        <v>3.8185000000000002</v>
      </c>
      <c r="T94" s="31">
        <f>IFERROR(Tableau1[[#This Row],[SUB TERTIAIRE]]/Tableau1[[#This Row],[RESIDENTS]],"")</f>
        <v>6.3641666666666667</v>
      </c>
      <c r="U94" s="31">
        <f>Tableau1[[#This Row],[SUN]]/Tableau1[[#This Row],[SUB GENERALE]]</f>
        <v>0.72413793103448276</v>
      </c>
      <c r="V94"/>
      <c r="W94"/>
      <c r="Z94"/>
    </row>
    <row r="95" spans="2:26" x14ac:dyDescent="0.3">
      <c r="B95" s="10">
        <v>454260</v>
      </c>
      <c r="C95" s="10" t="s">
        <v>159</v>
      </c>
      <c r="D95" s="10" t="s">
        <v>23</v>
      </c>
      <c r="E95" s="10" t="s">
        <v>32</v>
      </c>
      <c r="F95" s="10" t="s">
        <v>155</v>
      </c>
      <c r="G95" s="10" t="s">
        <v>156</v>
      </c>
      <c r="H95" s="10" t="s">
        <v>157</v>
      </c>
      <c r="I95" s="10" t="s">
        <v>158</v>
      </c>
      <c r="J95" s="10"/>
      <c r="K95" s="137">
        <v>5105</v>
      </c>
      <c r="L95" s="134">
        <f>Tableau1[[#This Row],[SPL (SDP)]]*0.87</f>
        <v>4441.3500000000004</v>
      </c>
      <c r="M95" s="134">
        <v>200.43</v>
      </c>
      <c r="N95" s="134">
        <f>Tableau1[[#This Row],[SPL (SDP)]]*0.63</f>
        <v>3216.15</v>
      </c>
      <c r="O95" s="184">
        <v>145.13999999999999</v>
      </c>
      <c r="P95" s="10"/>
      <c r="Q95" s="10">
        <v>7</v>
      </c>
      <c r="R95" s="191">
        <v>20</v>
      </c>
      <c r="S95" s="31">
        <f>IFERROR(Tableau1[[#This Row],[SUB TERTIAIRE]]/Tableau1[[#This Row],[POSTES DE TRAVAIL]],"")</f>
        <v>10.0215</v>
      </c>
      <c r="T95" s="31">
        <f>IFERROR(Tableau1[[#This Row],[SUB TERTIAIRE]]/Tableau1[[#This Row],[RESIDENTS]],"")</f>
        <v>28.632857142857144</v>
      </c>
      <c r="U95" s="31">
        <f>Tableau1[[#This Row],[SUN]]/Tableau1[[#This Row],[SUB GENERALE]]</f>
        <v>0.72413793103448276</v>
      </c>
      <c r="V95"/>
      <c r="W95"/>
      <c r="Z95"/>
    </row>
    <row r="96" spans="2:26" x14ac:dyDescent="0.3">
      <c r="B96" s="10">
        <v>333034</v>
      </c>
      <c r="C96" s="10" t="s">
        <v>160</v>
      </c>
      <c r="D96" s="10"/>
      <c r="E96" s="10" t="s">
        <v>66</v>
      </c>
      <c r="F96" s="10" t="s">
        <v>155</v>
      </c>
      <c r="G96" s="10" t="s">
        <v>161</v>
      </c>
      <c r="H96" s="10" t="s">
        <v>157</v>
      </c>
      <c r="I96" s="10" t="s">
        <v>158</v>
      </c>
      <c r="J96" s="10"/>
      <c r="K96" s="137">
        <v>291</v>
      </c>
      <c r="L96" s="134">
        <f>Tableau1[[#This Row],[SPL (SDP)]]*0.87</f>
        <v>253.17</v>
      </c>
      <c r="M96" s="135">
        <v>0</v>
      </c>
      <c r="N96" s="134">
        <f>Tableau1[[#This Row],[SPL (SDP)]]*0.63</f>
        <v>183.33</v>
      </c>
      <c r="O96" s="184">
        <v>0</v>
      </c>
      <c r="P96" s="10"/>
      <c r="Q96" s="10">
        <v>0</v>
      </c>
      <c r="R96" s="191">
        <v>0</v>
      </c>
      <c r="S96" s="31" t="str">
        <f>IFERROR(Tableau1[[#This Row],[SUB TERTIAIRE]]/Tableau1[[#This Row],[POSTES DE TRAVAIL]],"")</f>
        <v/>
      </c>
      <c r="T96" s="31" t="str">
        <f>IFERROR(Tableau1[[#This Row],[SUB TERTIAIRE]]/Tableau1[[#This Row],[RESIDENTS]],"")</f>
        <v/>
      </c>
      <c r="U96" s="10" t="s">
        <v>37</v>
      </c>
      <c r="V96"/>
      <c r="W96"/>
      <c r="Z96"/>
    </row>
    <row r="97" spans="2:26" s="23" customFormat="1" ht="15" thickBot="1" x14ac:dyDescent="0.35">
      <c r="B97" s="32" t="s">
        <v>162</v>
      </c>
      <c r="C97" s="32"/>
      <c r="D97" s="32"/>
      <c r="E97" s="32"/>
      <c r="F97" s="33"/>
      <c r="G97" s="32"/>
      <c r="H97" s="32"/>
      <c r="I97" s="32"/>
      <c r="J97" s="32"/>
      <c r="K97" s="140">
        <f>SUBTOTAL(9,K94:K96)</f>
        <v>7700</v>
      </c>
      <c r="L97" s="133">
        <f>SUBTOTAL(9,L94:L96)</f>
        <v>6699</v>
      </c>
      <c r="M97" s="133">
        <f>SUBTOTAL(9,M94:M96)</f>
        <v>276.8</v>
      </c>
      <c r="N97" s="133">
        <f t="shared" ref="N97:R97" si="23">SUBTOTAL(9,N94:N96)</f>
        <v>4851</v>
      </c>
      <c r="O97" s="183">
        <f>SUBTOTAL(9,O94:O96)</f>
        <v>200.44</v>
      </c>
      <c r="P97" s="32">
        <f t="shared" si="23"/>
        <v>0</v>
      </c>
      <c r="Q97" s="32">
        <f t="shared" si="23"/>
        <v>19</v>
      </c>
      <c r="R97" s="193">
        <f t="shared" si="23"/>
        <v>40</v>
      </c>
      <c r="S97" s="34">
        <f>IFERROR(Tableau1[[#This Row],[SUB TERTIAIRE]]/Tableau1[[#This Row],[POSTES DE TRAVAIL]],"")</f>
        <v>6.92</v>
      </c>
      <c r="T97" s="34">
        <f>IFERROR(Tableau1[[#This Row],[SUB TERTIAIRE]]/Tableau1[[#This Row],[RESIDENTS]],"")</f>
        <v>14.56842105263158</v>
      </c>
      <c r="U97" s="35">
        <f>IFERROR(Tableau1[[#This Row],[SUN]]/Tableau1[[#This Row],[SUB GENERALE]],"")</f>
        <v>0.72413793103448276</v>
      </c>
    </row>
    <row r="98" spans="2:26" s="23" customFormat="1" ht="24.75" customHeight="1" thickTop="1" thickBot="1" x14ac:dyDescent="0.35">
      <c r="B98" s="38" t="s">
        <v>163</v>
      </c>
      <c r="C98" s="38"/>
      <c r="D98" s="38"/>
      <c r="E98" s="38"/>
      <c r="F98" s="39"/>
      <c r="G98" s="38"/>
      <c r="H98" s="38"/>
      <c r="I98" s="38"/>
      <c r="J98" s="38"/>
      <c r="K98" s="139">
        <f>K97+K93+K91+K89</f>
        <v>24308</v>
      </c>
      <c r="L98" s="139">
        <f>L97+L93+L91+L89</f>
        <v>21147.96</v>
      </c>
      <c r="M98" s="139">
        <f>M97+M93+M91+M89</f>
        <v>1687.04</v>
      </c>
      <c r="N98" s="139">
        <f>N97+N93+N91+N89</f>
        <v>15314.039999999999</v>
      </c>
      <c r="O98" s="176">
        <f>O97+O93+O91+O89</f>
        <v>1221.6499999999999</v>
      </c>
      <c r="P98" s="38">
        <f>P97+P95</f>
        <v>0</v>
      </c>
      <c r="Q98" s="38">
        <f>SUM(Q97,Q93,Q91,Q89)</f>
        <v>234</v>
      </c>
      <c r="R98" s="38">
        <f>SUBTOTAL(9,R88,R90,R92,R94,R95,R96)</f>
        <v>198</v>
      </c>
      <c r="S98" s="40">
        <f>IFERROR(Tableau1[[#This Row],[SUB TERTIAIRE]]/Tableau1[[#This Row],[POSTES DE TRAVAIL]],"")</f>
        <v>8.5204040404040402</v>
      </c>
      <c r="T98" s="40">
        <f>IFERROR(Tableau1[[#This Row],[SUB TERTIAIRE]]/Tableau1[[#This Row],[RESIDENTS]],"")</f>
        <v>7.2095726495726495</v>
      </c>
      <c r="U98" s="41">
        <f>Tableau1[[#This Row],[SUN]]/Tableau1[[#This Row],[SUB GENERALE]]</f>
        <v>0.72413793103448276</v>
      </c>
    </row>
    <row r="99" spans="2:26" s="24" customFormat="1" ht="15" thickTop="1" x14ac:dyDescent="0.3">
      <c r="B99" s="10">
        <v>318593</v>
      </c>
      <c r="C99" s="10" t="s">
        <v>87</v>
      </c>
      <c r="D99" s="10" t="s">
        <v>23</v>
      </c>
      <c r="E99" s="10" t="s">
        <v>32</v>
      </c>
      <c r="F99" s="36" t="s">
        <v>25</v>
      </c>
      <c r="G99" s="10" t="s">
        <v>26</v>
      </c>
      <c r="H99" s="10" t="s">
        <v>164</v>
      </c>
      <c r="I99" s="10" t="s">
        <v>106</v>
      </c>
      <c r="J99" s="10"/>
      <c r="K99" s="137">
        <v>14145</v>
      </c>
      <c r="L99" s="134">
        <f>Tableau1[[#This Row],[SPL (SDP)]]*0.87</f>
        <v>12306.15</v>
      </c>
      <c r="M99" s="134">
        <v>1113.8800000000001</v>
      </c>
      <c r="N99" s="134">
        <f>Tableau1[[#This Row],[SPL (SDP)]]*0.63</f>
        <v>8911.35</v>
      </c>
      <c r="O99" s="162">
        <v>806.6</v>
      </c>
      <c r="P99" s="10"/>
      <c r="Q99" s="10">
        <v>85</v>
      </c>
      <c r="R99" s="191">
        <v>85</v>
      </c>
      <c r="S99" s="31">
        <f>IFERROR(Tableau1[[#This Row],[SUB TERTIAIRE]]/Tableau1[[#This Row],[POSTES DE TRAVAIL]],"")</f>
        <v>13.104470588235296</v>
      </c>
      <c r="T99" s="31">
        <f>IFERROR(Tableau1[[#This Row],[SUB TERTIAIRE]]/Tableau1[[#This Row],[RESIDENTS]],"")</f>
        <v>13.104470588235296</v>
      </c>
      <c r="U99" s="37">
        <f>Tableau1[[#This Row],[SUN]]/Tableau1[[#This Row],[SUB GENERALE]]</f>
        <v>0.72413793103448276</v>
      </c>
    </row>
    <row r="100" spans="2:26" s="24" customFormat="1" x14ac:dyDescent="0.3">
      <c r="B100" s="10">
        <v>390514</v>
      </c>
      <c r="C100" s="10" t="s">
        <v>165</v>
      </c>
      <c r="D100" s="10" t="s">
        <v>23</v>
      </c>
      <c r="E100" s="10" t="s">
        <v>32</v>
      </c>
      <c r="F100" s="36" t="s">
        <v>25</v>
      </c>
      <c r="G100" s="10" t="s">
        <v>26</v>
      </c>
      <c r="H100" s="10" t="s">
        <v>164</v>
      </c>
      <c r="I100" s="10" t="s">
        <v>106</v>
      </c>
      <c r="J100" s="10"/>
      <c r="K100" s="137">
        <v>2073</v>
      </c>
      <c r="L100" s="134">
        <f>Tableau1[[#This Row],[SPL (SDP)]]*0.87</f>
        <v>1803.51</v>
      </c>
      <c r="M100" s="134">
        <v>268.33</v>
      </c>
      <c r="N100" s="134">
        <f>Tableau1[[#This Row],[SPL (SDP)]]*0.63</f>
        <v>1305.99</v>
      </c>
      <c r="O100" s="162">
        <v>194.31</v>
      </c>
      <c r="P100" s="10"/>
      <c r="Q100" s="10">
        <v>68</v>
      </c>
      <c r="R100" s="191">
        <v>68</v>
      </c>
      <c r="S100" s="31">
        <f>IFERROR(Tableau1[[#This Row],[SUB TERTIAIRE]]/Tableau1[[#This Row],[POSTES DE TRAVAIL]],"")</f>
        <v>3.9460294117647057</v>
      </c>
      <c r="T100" s="31">
        <f>IFERROR(Tableau1[[#This Row],[SUB TERTIAIRE]]/Tableau1[[#This Row],[RESIDENTS]],"")</f>
        <v>3.9460294117647057</v>
      </c>
      <c r="U100" s="37">
        <f>Tableau1[[#This Row],[SUN]]/Tableau1[[#This Row],[SUB GENERALE]]</f>
        <v>0.72413793103448276</v>
      </c>
    </row>
    <row r="101" spans="2:26" s="24" customFormat="1" x14ac:dyDescent="0.3">
      <c r="B101" s="10">
        <v>428843</v>
      </c>
      <c r="C101" s="10" t="s">
        <v>166</v>
      </c>
      <c r="D101" s="10" t="s">
        <v>66</v>
      </c>
      <c r="E101" s="10" t="s">
        <v>66</v>
      </c>
      <c r="F101" s="36" t="s">
        <v>25</v>
      </c>
      <c r="G101" s="10" t="s">
        <v>26</v>
      </c>
      <c r="H101" s="10" t="s">
        <v>164</v>
      </c>
      <c r="I101" s="10" t="s">
        <v>106</v>
      </c>
      <c r="J101" s="10"/>
      <c r="K101" s="137">
        <v>785</v>
      </c>
      <c r="L101" s="134">
        <f>Tableau1[[#This Row],[SPL (SDP)]]*0.87</f>
        <v>682.95</v>
      </c>
      <c r="M101" s="134">
        <v>0</v>
      </c>
      <c r="N101" s="134">
        <f>Tableau1[[#This Row],[SPL (SDP)]]*0.63</f>
        <v>494.55</v>
      </c>
      <c r="O101" s="162">
        <v>0</v>
      </c>
      <c r="P101" s="10"/>
      <c r="Q101" s="10" t="s">
        <v>37</v>
      </c>
      <c r="R101" s="191" t="s">
        <v>37</v>
      </c>
      <c r="S101" s="31" t="str">
        <f>IFERROR(Tableau1[[#This Row],[SUB TERTIAIRE]]/Tableau1[[#This Row],[POSTES DE TRAVAIL]],"")</f>
        <v/>
      </c>
      <c r="T101" s="31" t="str">
        <f>IFERROR(Tableau1[[#This Row],[SUB TERTIAIRE]]/Tableau1[[#This Row],[RESIDENTS]],"")</f>
        <v/>
      </c>
      <c r="U101" s="37" t="s">
        <v>37</v>
      </c>
    </row>
    <row r="102" spans="2:26" s="24" customFormat="1" x14ac:dyDescent="0.3">
      <c r="B102" s="10" t="s">
        <v>64</v>
      </c>
      <c r="C102" s="10" t="s">
        <v>103</v>
      </c>
      <c r="D102" s="10" t="s">
        <v>167</v>
      </c>
      <c r="E102" s="10" t="s">
        <v>167</v>
      </c>
      <c r="F102" s="36" t="s">
        <v>25</v>
      </c>
      <c r="G102" s="10" t="s">
        <v>26</v>
      </c>
      <c r="H102" s="10" t="s">
        <v>164</v>
      </c>
      <c r="I102" s="10" t="s">
        <v>106</v>
      </c>
      <c r="J102" s="10" t="s">
        <v>103</v>
      </c>
      <c r="K102" s="137">
        <f>514-39</f>
        <v>475</v>
      </c>
      <c r="L102" s="134">
        <f>Tableau1[[#This Row],[SPL (SDP)]]*0.87</f>
        <v>413.25</v>
      </c>
      <c r="M102" s="134">
        <v>0</v>
      </c>
      <c r="N102" s="134">
        <f>Tableau1[[#This Row],[SPL (SDP)]]*0.63</f>
        <v>299.25</v>
      </c>
      <c r="O102" s="162"/>
      <c r="P102" s="10"/>
      <c r="Q102" s="10">
        <v>3</v>
      </c>
      <c r="R102" s="191">
        <v>3</v>
      </c>
      <c r="S102" s="31">
        <f>IFERROR(Tableau1[[#This Row],[SUB TERTIAIRE]]/Tableau1[[#This Row],[POSTES DE TRAVAIL]],"")</f>
        <v>0</v>
      </c>
      <c r="T102" s="31">
        <f>IFERROR(Tableau1[[#This Row],[SUB TERTIAIRE]]/Tableau1[[#This Row],[RESIDENTS]],"")</f>
        <v>0</v>
      </c>
      <c r="U102" s="37" t="s">
        <v>37</v>
      </c>
    </row>
    <row r="103" spans="2:26" s="23" customFormat="1" ht="15" thickBot="1" x14ac:dyDescent="0.35">
      <c r="B103" s="32" t="s">
        <v>168</v>
      </c>
      <c r="C103" s="32"/>
      <c r="D103" s="32"/>
      <c r="E103" s="32"/>
      <c r="F103" s="33"/>
      <c r="G103" s="32"/>
      <c r="H103" s="32"/>
      <c r="I103" s="32"/>
      <c r="J103" s="32"/>
      <c r="K103" s="140">
        <f>SUBTOTAL(9,K99:K102)</f>
        <v>17478</v>
      </c>
      <c r="L103" s="133">
        <f>SUBTOTAL(9,L99:L102)</f>
        <v>15205.86</v>
      </c>
      <c r="M103" s="133">
        <f>SUBTOTAL(9,M99:M102)</f>
        <v>1382.21</v>
      </c>
      <c r="N103" s="133">
        <f t="shared" ref="N103" si="24">SUBTOTAL(9,N99:N102)</f>
        <v>11011.14</v>
      </c>
      <c r="O103" s="177">
        <f>SUBTOTAL(9,O99:O102)</f>
        <v>1000.9100000000001</v>
      </c>
      <c r="P103" s="32">
        <f t="shared" ref="P103:R103" si="25">SUBTOTAL(9,P99:P102)</f>
        <v>0</v>
      </c>
      <c r="Q103" s="32">
        <f t="shared" si="25"/>
        <v>156</v>
      </c>
      <c r="R103" s="32">
        <f t="shared" si="25"/>
        <v>156</v>
      </c>
      <c r="S103" s="34">
        <f>IFERROR(Tableau1[[#This Row],[SUB TERTIAIRE]]/Tableau1[[#This Row],[POSTES DE TRAVAIL]],"")</f>
        <v>8.8603205128205129</v>
      </c>
      <c r="T103" s="34">
        <f>IFERROR(Tableau1[[#This Row],[SUB TERTIAIRE]]/Tableau1[[#This Row],[RESIDENTS]],"")</f>
        <v>8.8603205128205129</v>
      </c>
      <c r="U103" s="35">
        <f>IFERROR(Tableau1[[#This Row],[SUN]]/Tableau1[[#This Row],[SUB GENERALE]],"")</f>
        <v>0.72413793103448265</v>
      </c>
    </row>
    <row r="104" spans="2:26" ht="15" thickTop="1" x14ac:dyDescent="0.3">
      <c r="B104" s="10">
        <v>389965</v>
      </c>
      <c r="C104" s="10" t="s">
        <v>169</v>
      </c>
      <c r="D104" s="10" t="s">
        <v>23</v>
      </c>
      <c r="E104" s="10" t="s">
        <v>32</v>
      </c>
      <c r="F104" s="10" t="s">
        <v>130</v>
      </c>
      <c r="G104" s="10" t="s">
        <v>170</v>
      </c>
      <c r="H104" s="10" t="s">
        <v>171</v>
      </c>
      <c r="I104" s="10" t="s">
        <v>172</v>
      </c>
      <c r="J104" s="10"/>
      <c r="K104" s="137">
        <v>2654</v>
      </c>
      <c r="L104" s="134">
        <f>Tableau1[[#This Row],[SPL (SDP)]]*0.87</f>
        <v>2308.98</v>
      </c>
      <c r="M104" s="134">
        <v>224.98</v>
      </c>
      <c r="N104" s="134">
        <f>Tableau1[[#This Row],[SPL (SDP)]]*0.63</f>
        <v>1672.02</v>
      </c>
      <c r="O104" s="184">
        <v>162.91999999999999</v>
      </c>
      <c r="P104" s="10"/>
      <c r="Q104" s="10">
        <v>0</v>
      </c>
      <c r="R104" s="191">
        <v>2</v>
      </c>
      <c r="S104" s="10">
        <f>IFERROR(Tableau1[[#This Row],[SUN TERTAIRE]]/Tableau1[[#This Row],[POSTES DE TRAVAIL]],"")</f>
        <v>81.459999999999994</v>
      </c>
      <c r="T104" s="31" t="str">
        <f>IFERROR(Tableau1[[#This Row],[SUB TERTIAIRE]]/Tableau1[[#This Row],[RESIDENTS]],"")</f>
        <v/>
      </c>
      <c r="U104" s="31">
        <f>Tableau1[[#This Row],[SUN]]/Tableau1[[#This Row],[SUB GENERALE]]</f>
        <v>0.72413793103448276</v>
      </c>
      <c r="V104"/>
      <c r="W104"/>
      <c r="Z104"/>
    </row>
    <row r="105" spans="2:26" s="23" customFormat="1" ht="15" thickBot="1" x14ac:dyDescent="0.35">
      <c r="B105" s="32" t="s">
        <v>169</v>
      </c>
      <c r="C105" s="32"/>
      <c r="D105" s="32"/>
      <c r="E105" s="32"/>
      <c r="F105" s="33"/>
      <c r="G105" s="32"/>
      <c r="H105" s="32"/>
      <c r="I105" s="32"/>
      <c r="J105" s="32"/>
      <c r="K105" s="140">
        <f>K104</f>
        <v>2654</v>
      </c>
      <c r="L105" s="133">
        <f t="shared" ref="L105" si="26">L104</f>
        <v>2308.98</v>
      </c>
      <c r="M105" s="133">
        <f>M104</f>
        <v>224.98</v>
      </c>
      <c r="N105" s="133">
        <f t="shared" ref="N105:R105" si="27">N104</f>
        <v>1672.02</v>
      </c>
      <c r="O105" s="183">
        <f>O104</f>
        <v>162.91999999999999</v>
      </c>
      <c r="P105" s="32">
        <f t="shared" si="27"/>
        <v>0</v>
      </c>
      <c r="Q105" s="32">
        <f t="shared" si="27"/>
        <v>0</v>
      </c>
      <c r="R105" s="32">
        <f t="shared" si="27"/>
        <v>2</v>
      </c>
      <c r="S105" s="34">
        <f>IFERROR(Tableau1[[#This Row],[SUB TERTIAIRE]]/Tableau1[[#This Row],[POSTES DE TRAVAIL]],"")</f>
        <v>112.49</v>
      </c>
      <c r="T105" s="34" t="str">
        <f>IFERROR(Tableau1[[#This Row],[SUB TERTIAIRE]]/Tableau1[[#This Row],[RESIDENTS]],"")</f>
        <v/>
      </c>
      <c r="U105" s="35">
        <f>IFERROR(Tableau1[[#This Row],[SUN]]/Tableau1[[#This Row],[SUB GENERALE]],"")</f>
        <v>0.72413793103448276</v>
      </c>
    </row>
    <row r="106" spans="2:26" s="24" customFormat="1" ht="24" customHeight="1" thickTop="1" x14ac:dyDescent="0.3">
      <c r="B106" s="8" t="s">
        <v>64</v>
      </c>
      <c r="C106" s="8" t="s">
        <v>173</v>
      </c>
      <c r="D106" s="8" t="s">
        <v>23</v>
      </c>
      <c r="E106" s="8" t="s">
        <v>32</v>
      </c>
      <c r="F106" s="8" t="s">
        <v>130</v>
      </c>
      <c r="G106" s="8" t="s">
        <v>170</v>
      </c>
      <c r="H106" s="8" t="s">
        <v>174</v>
      </c>
      <c r="I106" s="8" t="s">
        <v>172</v>
      </c>
      <c r="J106" s="8"/>
      <c r="K106" s="200">
        <v>8154</v>
      </c>
      <c r="L106" s="134">
        <f>Tableau1[[#This Row],[SPL (SDP)]]*0.87</f>
        <v>7093.98</v>
      </c>
      <c r="M106" s="134">
        <v>649.39</v>
      </c>
      <c r="N106" s="134">
        <f>Tableau1[[#This Row],[SPL (SDP)]]*0.63</f>
        <v>5137.0200000000004</v>
      </c>
      <c r="O106" s="162">
        <v>470.25</v>
      </c>
      <c r="P106" s="8"/>
      <c r="Q106" s="8">
        <v>19</v>
      </c>
      <c r="R106" s="8">
        <v>8</v>
      </c>
      <c r="S106" s="8">
        <f>IFERROR(Tableau1[[#This Row],[SUB TERTIAIRE]]/Tableau1[[#This Row],[POSTES DE TRAVAIL]],"")</f>
        <v>81.173749999999998</v>
      </c>
      <c r="T106" s="27">
        <f>IFERROR(Tableau1[[#This Row],[SUB TERTIAIRE]]/Tableau1[[#This Row],[RESIDENTS]],"")</f>
        <v>34.178421052631577</v>
      </c>
      <c r="U106" s="27">
        <f>Tableau1[[#This Row],[SUN]]/Tableau1[[#This Row],[SUB GENERALE]]</f>
        <v>0.72413793103448287</v>
      </c>
    </row>
    <row r="107" spans="2:26" s="24" customFormat="1" ht="19.5" customHeight="1" thickBot="1" x14ac:dyDescent="0.35">
      <c r="B107" s="148" t="s">
        <v>173</v>
      </c>
      <c r="C107" s="148"/>
      <c r="D107" s="148"/>
      <c r="E107" s="148"/>
      <c r="F107" s="149"/>
      <c r="G107" s="148"/>
      <c r="H107" s="148"/>
      <c r="I107" s="148"/>
      <c r="J107" s="148"/>
      <c r="K107" s="140">
        <f>K106</f>
        <v>8154</v>
      </c>
      <c r="L107" s="136">
        <f t="shared" ref="L107" si="28">L106</f>
        <v>7093.98</v>
      </c>
      <c r="M107" s="136">
        <f>M106</f>
        <v>649.39</v>
      </c>
      <c r="N107" s="136">
        <f t="shared" ref="N107:R107" si="29">N106</f>
        <v>5137.0200000000004</v>
      </c>
      <c r="O107" s="185">
        <f>O106</f>
        <v>470.25</v>
      </c>
      <c r="P107" s="28">
        <f>P106</f>
        <v>0</v>
      </c>
      <c r="Q107" s="28">
        <f t="shared" si="29"/>
        <v>19</v>
      </c>
      <c r="R107" s="28">
        <f t="shared" si="29"/>
        <v>8</v>
      </c>
      <c r="S107" s="29">
        <f>IFERROR(Tableau1[[#This Row],[SUB TERTIAIRE]]/Tableau1[[#This Row],[POSTES DE TRAVAIL]],"")</f>
        <v>81.173749999999998</v>
      </c>
      <c r="T107" s="29">
        <f>IFERROR(Tableau1[[#This Row],[SUB TERTIAIRE]]/Tableau1[[#This Row],[RESIDENTS]],"")</f>
        <v>34.178421052631577</v>
      </c>
      <c r="U107" s="30">
        <f>IFERROR(Tableau1[[#This Row],[SUN]]/Tableau1[[#This Row],[SUB TERTIAIRE]],"")</f>
        <v>7.9105314217958398</v>
      </c>
    </row>
    <row r="108" spans="2:26" ht="29.4" thickTop="1" x14ac:dyDescent="0.3">
      <c r="B108" s="10">
        <v>325403</v>
      </c>
      <c r="C108" s="10" t="s">
        <v>175</v>
      </c>
      <c r="D108" s="10" t="s">
        <v>23</v>
      </c>
      <c r="E108" s="10" t="s">
        <v>32</v>
      </c>
      <c r="F108" s="10" t="s">
        <v>176</v>
      </c>
      <c r="G108" s="10" t="s">
        <v>177</v>
      </c>
      <c r="H108" s="10" t="s">
        <v>178</v>
      </c>
      <c r="I108" s="10" t="s">
        <v>179</v>
      </c>
      <c r="J108" s="10"/>
      <c r="K108" s="137">
        <v>3273</v>
      </c>
      <c r="L108" s="134">
        <f>Tableau1[[#This Row],[SPL (SDP)]]*0.87</f>
        <v>2847.5099999999998</v>
      </c>
      <c r="M108" s="134">
        <v>184.57</v>
      </c>
      <c r="N108" s="134">
        <f>Tableau1[[#This Row],[SPL (SDP)]]*0.63</f>
        <v>2061.9900000000002</v>
      </c>
      <c r="O108" s="184">
        <v>133.65</v>
      </c>
      <c r="P108" s="10"/>
      <c r="Q108" s="10">
        <v>17</v>
      </c>
      <c r="R108" s="10">
        <v>10</v>
      </c>
      <c r="S108" s="31">
        <f>IFERROR(Tableau1[[#This Row],[SUB TERTIAIRE]]/Tableau1[[#This Row],[POSTES DE TRAVAIL]],"")</f>
        <v>18.457000000000001</v>
      </c>
      <c r="T108" s="31">
        <f>IFERROR(Tableau1[[#This Row],[SUB TERTIAIRE]]/Tableau1[[#This Row],[RESIDENTS]],"")</f>
        <v>10.857058823529412</v>
      </c>
      <c r="U108" s="31">
        <f>Tableau1[[#This Row],[SUN]]/Tableau1[[#This Row],[SUB GENERALE]]</f>
        <v>0.72413793103448287</v>
      </c>
      <c r="V108"/>
      <c r="W108"/>
      <c r="Z108"/>
    </row>
    <row r="109" spans="2:26" s="23" customFormat="1" ht="15" thickBot="1" x14ac:dyDescent="0.35">
      <c r="B109" s="32" t="s">
        <v>175</v>
      </c>
      <c r="C109" s="32"/>
      <c r="D109" s="32"/>
      <c r="E109" s="32"/>
      <c r="F109" s="33"/>
      <c r="G109" s="32"/>
      <c r="H109" s="32"/>
      <c r="I109" s="32"/>
      <c r="J109" s="32"/>
      <c r="K109" s="140">
        <f>K108</f>
        <v>3273</v>
      </c>
      <c r="L109" s="133">
        <f t="shared" ref="L109" si="30">L108</f>
        <v>2847.5099999999998</v>
      </c>
      <c r="M109" s="133">
        <f>M108</f>
        <v>184.57</v>
      </c>
      <c r="N109" s="133">
        <f t="shared" ref="N109:R109" si="31">N108</f>
        <v>2061.9900000000002</v>
      </c>
      <c r="O109" s="183">
        <f>O108</f>
        <v>133.65</v>
      </c>
      <c r="P109" s="32">
        <f t="shared" si="31"/>
        <v>0</v>
      </c>
      <c r="Q109" s="32">
        <f t="shared" si="31"/>
        <v>17</v>
      </c>
      <c r="R109" s="32">
        <f t="shared" si="31"/>
        <v>10</v>
      </c>
      <c r="S109" s="34">
        <f>IFERROR(Tableau1[[#This Row],[SUB TERTIAIRE]]/Tableau1[[#This Row],[POSTES DE TRAVAIL]],"")</f>
        <v>18.457000000000001</v>
      </c>
      <c r="T109" s="34">
        <f>IFERROR(Tableau1[[#This Row],[SUB TERTIAIRE]]/Tableau1[[#This Row],[RESIDENTS]],"")</f>
        <v>10.857058823529412</v>
      </c>
      <c r="U109" s="35">
        <f>IFERROR(Tableau1[[#This Row],[SUN]]/Tableau1[[#This Row],[SUB GENERALE]],"")</f>
        <v>0.72413793103448287</v>
      </c>
    </row>
    <row r="110" spans="2:26" s="23" customFormat="1" ht="20.25" customHeight="1" thickTop="1" thickBot="1" x14ac:dyDescent="0.35">
      <c r="B110" s="38" t="s">
        <v>180</v>
      </c>
      <c r="C110" s="38"/>
      <c r="D110" s="38"/>
      <c r="E110" s="38"/>
      <c r="F110" s="39"/>
      <c r="G110" s="38"/>
      <c r="H110" s="38"/>
      <c r="I110" s="38"/>
      <c r="J110" s="38"/>
      <c r="K110" s="139">
        <f>K109+K105+K103+K107</f>
        <v>31559</v>
      </c>
      <c r="L110" s="139">
        <f t="shared" ref="L110" si="32">L109+L105+L103+L107</f>
        <v>27456.329999999998</v>
      </c>
      <c r="M110" s="139">
        <f>M109+M105+M103+M107</f>
        <v>2441.15</v>
      </c>
      <c r="N110" s="139">
        <f t="shared" ref="N110:R110" si="33">N109+N105+N103+N107</f>
        <v>19882.169999999998</v>
      </c>
      <c r="O110" s="178">
        <f>O109+O105+O103+O107</f>
        <v>1767.73</v>
      </c>
      <c r="P110" s="132">
        <f>P109+P105+P103+P107</f>
        <v>0</v>
      </c>
      <c r="Q110" s="132">
        <f t="shared" si="33"/>
        <v>192</v>
      </c>
      <c r="R110" s="132">
        <f t="shared" si="33"/>
        <v>176</v>
      </c>
      <c r="S110" s="40">
        <f>IFERROR(Tableau1[[#This Row],[SUB TERTIAIRE]]/Tableau1[[#This Row],[POSTES DE TRAVAIL]],"")</f>
        <v>13.870170454545455</v>
      </c>
      <c r="T110" s="40">
        <f>IFERROR(Tableau1[[#This Row],[SUB TERTIAIRE]]/Tableau1[[#This Row],[RESIDENTS]],"")</f>
        <v>12.714322916666667</v>
      </c>
      <c r="U110" s="41">
        <f>IFERROR(Tableau1[[#This Row],[SUN]]/Tableau1[[#This Row],[SUB GENERALE]],"")</f>
        <v>0.72413793103448276</v>
      </c>
    </row>
    <row r="111" spans="2:26" s="4" customFormat="1" ht="15" thickTop="1" x14ac:dyDescent="0.3">
      <c r="B111" s="10">
        <v>323206</v>
      </c>
      <c r="C111" s="10" t="s">
        <v>181</v>
      </c>
      <c r="D111" s="10" t="s">
        <v>23</v>
      </c>
      <c r="E111" s="10" t="s">
        <v>32</v>
      </c>
      <c r="F111" s="36" t="s">
        <v>25</v>
      </c>
      <c r="G111" s="10" t="s">
        <v>26</v>
      </c>
      <c r="H111" s="10" t="s">
        <v>182</v>
      </c>
      <c r="I111" s="10" t="s">
        <v>106</v>
      </c>
      <c r="J111" s="10"/>
      <c r="K111" s="137">
        <v>7170</v>
      </c>
      <c r="L111" s="134">
        <f>Tableau1[[#This Row],[SPL (SDP)]]*0.87</f>
        <v>6237.9</v>
      </c>
      <c r="M111" s="134">
        <v>348.36</v>
      </c>
      <c r="N111" s="134">
        <f>Tableau1[[#This Row],[SPL (SDP)]]*0.63</f>
        <v>4517.1000000000004</v>
      </c>
      <c r="O111" s="186">
        <v>252.26</v>
      </c>
      <c r="P111" s="10"/>
      <c r="Q111" s="157">
        <v>134</v>
      </c>
      <c r="R111" s="191">
        <v>104</v>
      </c>
      <c r="S111" s="31">
        <f>IFERROR(Tableau1[[#This Row],[SUB TERTIAIRE]]/Tableau1[[#This Row],[POSTES DE TRAVAIL]],"")</f>
        <v>3.3496153846153849</v>
      </c>
      <c r="T111" s="31">
        <f>IFERROR(Tableau1[[#This Row],[SUB TERTIAIRE]]/Tableau1[[#This Row],[RESIDENTS]],"")</f>
        <v>2.5997014925373136</v>
      </c>
      <c r="U111" s="37">
        <f>Tableau1[[#This Row],[SUN]]/Tableau1[[#This Row],[SUB GENERALE]]</f>
        <v>0.72413793103448287</v>
      </c>
    </row>
    <row r="112" spans="2:26" s="4" customFormat="1" x14ac:dyDescent="0.3">
      <c r="B112" s="10">
        <v>390399</v>
      </c>
      <c r="C112" s="10" t="s">
        <v>183</v>
      </c>
      <c r="D112" s="10" t="s">
        <v>23</v>
      </c>
      <c r="E112" s="10" t="s">
        <v>32</v>
      </c>
      <c r="F112" s="36" t="s">
        <v>25</v>
      </c>
      <c r="G112" s="10" t="s">
        <v>26</v>
      </c>
      <c r="H112" s="10" t="s">
        <v>182</v>
      </c>
      <c r="I112" s="10" t="s">
        <v>106</v>
      </c>
      <c r="J112" s="10"/>
      <c r="K112" s="137">
        <v>3045</v>
      </c>
      <c r="L112" s="134">
        <f>Tableau1[[#This Row],[SPL (SDP)]]*0.87</f>
        <v>2649.15</v>
      </c>
      <c r="M112" s="134">
        <v>317.52</v>
      </c>
      <c r="N112" s="134">
        <f>Tableau1[[#This Row],[SPL (SDP)]]*0.63</f>
        <v>1918.35</v>
      </c>
      <c r="O112" s="186">
        <v>229.92</v>
      </c>
      <c r="P112" s="10"/>
      <c r="Q112" s="157">
        <v>37</v>
      </c>
      <c r="R112" s="191">
        <v>40</v>
      </c>
      <c r="S112" s="31">
        <f>IFERROR(Tableau1[[#This Row],[SUB TERTIAIRE]]/Tableau1[[#This Row],[POSTES DE TRAVAIL]],"")</f>
        <v>7.9379999999999997</v>
      </c>
      <c r="T112" s="31">
        <f>IFERROR(Tableau1[[#This Row],[SUB TERTIAIRE]]/Tableau1[[#This Row],[RESIDENTS]],"")</f>
        <v>8.5816216216216219</v>
      </c>
      <c r="U112" s="37">
        <f>Tableau1[[#This Row],[SUN]]/Tableau1[[#This Row],[SUB GENERALE]]</f>
        <v>0.72413793103448265</v>
      </c>
    </row>
    <row r="113" spans="2:26" s="4" customFormat="1" x14ac:dyDescent="0.3">
      <c r="B113" s="10">
        <v>390400</v>
      </c>
      <c r="C113" s="10" t="s">
        <v>184</v>
      </c>
      <c r="D113" s="10" t="s">
        <v>23</v>
      </c>
      <c r="E113" s="10" t="s">
        <v>32</v>
      </c>
      <c r="F113" s="36" t="s">
        <v>25</v>
      </c>
      <c r="G113" s="10" t="s">
        <v>26</v>
      </c>
      <c r="H113" s="10" t="s">
        <v>182</v>
      </c>
      <c r="I113" s="10" t="s">
        <v>106</v>
      </c>
      <c r="J113" s="10"/>
      <c r="K113" s="137">
        <v>2650</v>
      </c>
      <c r="L113" s="134">
        <f>Tableau1[[#This Row],[SPL (SDP)]]*0.87</f>
        <v>2305.5</v>
      </c>
      <c r="M113" s="134">
        <v>158.31</v>
      </c>
      <c r="N113" s="134">
        <f>Tableau1[[#This Row],[SPL (SDP)]]*0.63</f>
        <v>1669.5</v>
      </c>
      <c r="O113" s="186">
        <v>114.63</v>
      </c>
      <c r="P113" s="10"/>
      <c r="Q113" s="157">
        <v>53</v>
      </c>
      <c r="R113" s="191">
        <v>69</v>
      </c>
      <c r="S113" s="31">
        <f>IFERROR(Tableau1[[#This Row],[SUB TERTIAIRE]]/Tableau1[[#This Row],[POSTES DE TRAVAIL]],"")</f>
        <v>2.2943478260869568</v>
      </c>
      <c r="T113" s="31">
        <f>IFERROR(Tableau1[[#This Row],[SUB TERTIAIRE]]/Tableau1[[#This Row],[RESIDENTS]],"")</f>
        <v>2.9869811320754716</v>
      </c>
      <c r="U113" s="37">
        <f>Tableau1[[#This Row],[SUN]]/Tableau1[[#This Row],[SUB GENERALE]]</f>
        <v>0.72413793103448276</v>
      </c>
    </row>
    <row r="114" spans="2:26" s="4" customFormat="1" x14ac:dyDescent="0.3">
      <c r="B114" s="10">
        <v>390401</v>
      </c>
      <c r="C114" s="10" t="s">
        <v>721</v>
      </c>
      <c r="D114" s="10" t="s">
        <v>23</v>
      </c>
      <c r="E114" s="10" t="s">
        <v>32</v>
      </c>
      <c r="F114" s="36" t="s">
        <v>25</v>
      </c>
      <c r="G114" s="10" t="s">
        <v>26</v>
      </c>
      <c r="H114" s="10" t="s">
        <v>182</v>
      </c>
      <c r="I114" s="10" t="s">
        <v>106</v>
      </c>
      <c r="J114" s="10"/>
      <c r="K114" s="137">
        <v>7189</v>
      </c>
      <c r="L114" s="134">
        <f>Tableau1[[#This Row],[SPL (SDP)]]*0.87</f>
        <v>6254.43</v>
      </c>
      <c r="M114" s="134">
        <v>433.05</v>
      </c>
      <c r="N114" s="134">
        <f>Tableau1[[#This Row],[SPL (SDP)]]*0.63</f>
        <v>4529.07</v>
      </c>
      <c r="O114" s="186">
        <v>313.58999999999997</v>
      </c>
      <c r="P114" s="10"/>
      <c r="Q114" s="157">
        <v>102</v>
      </c>
      <c r="R114" s="191">
        <v>85</v>
      </c>
      <c r="S114" s="31">
        <f>IFERROR(Tableau1[[#This Row],[SUB TERTIAIRE]]/Tableau1[[#This Row],[POSTES DE TRAVAIL]],"")</f>
        <v>5.0947058823529412</v>
      </c>
      <c r="T114" s="31">
        <f>IFERROR(Tableau1[[#This Row],[SUB TERTIAIRE]]/Tableau1[[#This Row],[RESIDENTS]],"")</f>
        <v>4.2455882352941181</v>
      </c>
      <c r="U114" s="37">
        <f>Tableau1[[#This Row],[SUN]]/Tableau1[[#This Row],[SUB GENERALE]]</f>
        <v>0.72413793103448265</v>
      </c>
    </row>
    <row r="115" spans="2:26" s="4" customFormat="1" x14ac:dyDescent="0.3">
      <c r="B115" s="10">
        <v>390404</v>
      </c>
      <c r="C115" s="10" t="s">
        <v>185</v>
      </c>
      <c r="D115" s="10" t="s">
        <v>23</v>
      </c>
      <c r="E115" s="10" t="s">
        <v>32</v>
      </c>
      <c r="F115" s="36" t="s">
        <v>25</v>
      </c>
      <c r="G115" s="10" t="s">
        <v>26</v>
      </c>
      <c r="H115" s="10" t="s">
        <v>182</v>
      </c>
      <c r="I115" s="10" t="s">
        <v>106</v>
      </c>
      <c r="J115" s="10"/>
      <c r="K115" s="137">
        <v>1726</v>
      </c>
      <c r="L115" s="134">
        <f>Tableau1[[#This Row],[SPL (SDP)]]*0.87</f>
        <v>1501.62</v>
      </c>
      <c r="M115" s="134">
        <v>164.35</v>
      </c>
      <c r="N115" s="134">
        <f>Tableau1[[#This Row],[SPL (SDP)]]*0.63</f>
        <v>1087.3800000000001</v>
      </c>
      <c r="O115" s="186">
        <v>119.01</v>
      </c>
      <c r="P115" s="10"/>
      <c r="Q115" s="157">
        <v>18</v>
      </c>
      <c r="R115" s="191">
        <v>18</v>
      </c>
      <c r="S115" s="31">
        <f>IFERROR(Tableau1[[#This Row],[SUB TERTIAIRE]]/Tableau1[[#This Row],[POSTES DE TRAVAIL]],"")</f>
        <v>9.1305555555555546</v>
      </c>
      <c r="T115" s="31">
        <f>IFERROR(Tableau1[[#This Row],[SUB TERTIAIRE]]/Tableau1[[#This Row],[RESIDENTS]],"")</f>
        <v>9.1305555555555546</v>
      </c>
      <c r="U115" s="37">
        <f>Tableau1[[#This Row],[SUN]]/Tableau1[[#This Row],[SUB GENERALE]]</f>
        <v>0.72413793103448287</v>
      </c>
    </row>
    <row r="116" spans="2:26" s="4" customFormat="1" x14ac:dyDescent="0.3">
      <c r="B116" s="10">
        <v>390402</v>
      </c>
      <c r="C116" s="10" t="s">
        <v>186</v>
      </c>
      <c r="D116" s="10" t="s">
        <v>23</v>
      </c>
      <c r="E116" s="10" t="s">
        <v>32</v>
      </c>
      <c r="F116" s="36" t="s">
        <v>25</v>
      </c>
      <c r="G116" s="10" t="s">
        <v>26</v>
      </c>
      <c r="H116" s="10" t="s">
        <v>182</v>
      </c>
      <c r="I116" s="10" t="s">
        <v>106</v>
      </c>
      <c r="J116" s="10"/>
      <c r="K116" s="137">
        <v>5650</v>
      </c>
      <c r="L116" s="134">
        <f>Tableau1[[#This Row],[SPL (SDP)]]*0.87</f>
        <v>4915.5</v>
      </c>
      <c r="M116" s="134">
        <v>877.49</v>
      </c>
      <c r="N116" s="134">
        <f>Tableau1[[#This Row],[SPL (SDP)]]*0.63</f>
        <v>3559.5</v>
      </c>
      <c r="O116" s="186">
        <v>635.41999999999996</v>
      </c>
      <c r="P116" s="10"/>
      <c r="Q116" s="157">
        <v>303</v>
      </c>
      <c r="R116" s="191">
        <v>228</v>
      </c>
      <c r="S116" s="31">
        <f>IFERROR(Tableau1[[#This Row],[SUB TERTIAIRE]]/Tableau1[[#This Row],[POSTES DE TRAVAIL]],"")</f>
        <v>3.8486403508771931</v>
      </c>
      <c r="T116" s="31">
        <f>IFERROR(Tableau1[[#This Row],[SUB TERTIAIRE]]/Tableau1[[#This Row],[RESIDENTS]],"")</f>
        <v>2.896006600660066</v>
      </c>
      <c r="U116" s="37">
        <f>Tableau1[[#This Row],[SUN]]/Tableau1[[#This Row],[SUB GENERALE]]</f>
        <v>0.72413793103448276</v>
      </c>
    </row>
    <row r="117" spans="2:26" s="4" customFormat="1" x14ac:dyDescent="0.3">
      <c r="B117" s="10"/>
      <c r="C117" s="10" t="s">
        <v>703</v>
      </c>
      <c r="D117" s="10" t="s">
        <v>23</v>
      </c>
      <c r="E117" s="10" t="s">
        <v>32</v>
      </c>
      <c r="F117" s="164" t="s">
        <v>25</v>
      </c>
      <c r="G117" s="10" t="s">
        <v>26</v>
      </c>
      <c r="H117" s="10" t="s">
        <v>182</v>
      </c>
      <c r="I117" s="10" t="s">
        <v>106</v>
      </c>
      <c r="J117" s="10"/>
      <c r="K117" s="137">
        <v>640</v>
      </c>
      <c r="L117" s="134">
        <f>Tableau1[[#This Row],[SPL (SDP)]]*0.87</f>
        <v>556.79999999999995</v>
      </c>
      <c r="M117" s="134">
        <v>12.26</v>
      </c>
      <c r="N117" s="134">
        <f>Tableau1[[#This Row],[SPL (SDP)]]*0.63</f>
        <v>403.2</v>
      </c>
      <c r="O117" s="186">
        <v>8.8800000000000008</v>
      </c>
      <c r="P117" s="10"/>
      <c r="Q117" s="157">
        <v>2</v>
      </c>
      <c r="R117" s="10">
        <v>2</v>
      </c>
      <c r="S117" s="31">
        <f>IFERROR(Tableau1[[#This Row],[SUB TERTIAIRE]]/Tableau1[[#This Row],[POSTES DE TRAVAIL]],"")</f>
        <v>6.13</v>
      </c>
      <c r="T117" s="31">
        <f>IFERROR(Tableau1[[#This Row],[SUB TERTIAIRE]]/Tableau1[[#This Row],[RESIDENTS]],"")</f>
        <v>6.13</v>
      </c>
      <c r="U117" s="165">
        <f>Tableau1[[#This Row],[SUN]]/Tableau1[[#This Row],[SUB GENERALE]]</f>
        <v>0.72413793103448276</v>
      </c>
    </row>
    <row r="118" spans="2:26" s="4" customFormat="1" x14ac:dyDescent="0.3">
      <c r="B118" s="10"/>
      <c r="C118" s="10" t="s">
        <v>704</v>
      </c>
      <c r="D118" s="10" t="s">
        <v>23</v>
      </c>
      <c r="E118" s="10" t="s">
        <v>32</v>
      </c>
      <c r="F118" s="164" t="s">
        <v>25</v>
      </c>
      <c r="G118" s="10" t="s">
        <v>26</v>
      </c>
      <c r="H118" s="10"/>
      <c r="I118" s="10" t="s">
        <v>106</v>
      </c>
      <c r="J118" s="10"/>
      <c r="K118" s="137">
        <v>678</v>
      </c>
      <c r="L118" s="134">
        <f>Tableau1[[#This Row],[SPL (SDP)]]*0.87</f>
        <v>589.86</v>
      </c>
      <c r="M118" s="134">
        <v>114.12</v>
      </c>
      <c r="N118" s="134">
        <f>Tableau1[[#This Row],[SPL (SDP)]]*0.63</f>
        <v>427.14</v>
      </c>
      <c r="O118" s="186"/>
      <c r="P118" s="10"/>
      <c r="Q118" s="157">
        <v>13</v>
      </c>
      <c r="R118" s="10">
        <v>13</v>
      </c>
      <c r="S118" s="31">
        <f>IFERROR(Tableau1[[#This Row],[SUB TERTIAIRE]]/Tableau1[[#This Row],[POSTES DE TRAVAIL]],"")</f>
        <v>8.7784615384615385</v>
      </c>
      <c r="T118" s="31">
        <f>IFERROR(Tableau1[[#This Row],[SUB TERTIAIRE]]/Tableau1[[#This Row],[RESIDENTS]],"")</f>
        <v>8.7784615384615385</v>
      </c>
      <c r="U118" s="165">
        <f>Tableau1[[#This Row],[SUN]]/Tableau1[[#This Row],[SUB GENERALE]]</f>
        <v>0.72413793103448276</v>
      </c>
    </row>
    <row r="119" spans="2:26" s="4" customFormat="1" x14ac:dyDescent="0.3">
      <c r="B119" s="10"/>
      <c r="C119" s="10" t="s">
        <v>705</v>
      </c>
      <c r="D119" s="10"/>
      <c r="E119" s="10"/>
      <c r="F119" s="164" t="s">
        <v>25</v>
      </c>
      <c r="G119" s="10" t="s">
        <v>26</v>
      </c>
      <c r="H119" s="167" t="s">
        <v>182</v>
      </c>
      <c r="I119" s="10" t="s">
        <v>106</v>
      </c>
      <c r="J119" s="10"/>
      <c r="K119" s="137">
        <v>6003</v>
      </c>
      <c r="L119" s="134"/>
      <c r="M119" s="134"/>
      <c r="N119" s="134"/>
      <c r="O119" s="187"/>
      <c r="P119" s="10"/>
      <c r="Q119" s="157"/>
      <c r="R119" s="10"/>
      <c r="S119" s="31" t="str">
        <f>IFERROR(Tableau1[[#This Row],[SUB TERTIAIRE]]/Tableau1[[#This Row],[POSTES DE TRAVAIL]],"")</f>
        <v/>
      </c>
      <c r="T119" s="31" t="str">
        <f>IFERROR(Tableau1[[#This Row],[SUB TERTIAIRE]]/Tableau1[[#This Row],[RESIDENTS]],"")</f>
        <v/>
      </c>
      <c r="U119" s="166"/>
    </row>
    <row r="120" spans="2:26" s="23" customFormat="1" ht="19.5" customHeight="1" thickBot="1" x14ac:dyDescent="0.35">
      <c r="B120" s="38" t="s">
        <v>187</v>
      </c>
      <c r="C120" s="38"/>
      <c r="D120" s="38"/>
      <c r="E120" s="38"/>
      <c r="F120" s="39"/>
      <c r="G120" s="38"/>
      <c r="H120" s="38"/>
      <c r="I120" s="38"/>
      <c r="J120" s="38"/>
      <c r="K120" s="139">
        <f>SUBTOTAL(9,K111:K119)</f>
        <v>34751</v>
      </c>
      <c r="L120" s="139">
        <f>SUBTOTAL(9,L111:L116)</f>
        <v>23864.1</v>
      </c>
      <c r="M120" s="139">
        <f>SUBTOTAL(9,M111:M119)</f>
        <v>2425.46</v>
      </c>
      <c r="N120" s="139">
        <f>SUBTOTAL(9,N111:N116)</f>
        <v>17280.900000000001</v>
      </c>
      <c r="O120" s="176">
        <f>SUBTOTAL(9,O111:O118)</f>
        <v>1673.71</v>
      </c>
      <c r="P120" s="139">
        <f>SUBTOTAL(9,P111:P116)</f>
        <v>0</v>
      </c>
      <c r="Q120" s="38">
        <f>SUBTOTAL(9,Q111:Q116)</f>
        <v>647</v>
      </c>
      <c r="R120" s="38">
        <f>SUBTOTAL(9,R111:R116)</f>
        <v>544</v>
      </c>
      <c r="S120" s="40">
        <f>IFERROR(Tableau1[[#This Row],[SUB TERTIAIRE]]/Tableau1[[#This Row],[POSTES DE TRAVAIL]],"")</f>
        <v>4.4585661764705886</v>
      </c>
      <c r="T120" s="40">
        <f>IFERROR(Tableau1[[#This Row],[SUB TERTIAIRE]]/Tableau1[[#This Row],[RESIDENTS]],"")</f>
        <v>3.7487789799072644</v>
      </c>
      <c r="U120" s="41">
        <f>IFERROR(Tableau1[[#This Row],[SUN]]/Tableau1[[#This Row],[SUB GENERALE]],"")</f>
        <v>0.72413793103448287</v>
      </c>
    </row>
    <row r="121" spans="2:26" ht="15" thickTop="1" x14ac:dyDescent="0.3">
      <c r="B121" s="10">
        <v>426599</v>
      </c>
      <c r="C121" s="10" t="s">
        <v>188</v>
      </c>
      <c r="D121" s="10" t="s">
        <v>23</v>
      </c>
      <c r="E121" s="10" t="s">
        <v>32</v>
      </c>
      <c r="F121" s="10" t="s">
        <v>25</v>
      </c>
      <c r="G121" s="10" t="s">
        <v>26</v>
      </c>
      <c r="H121" s="10" t="s">
        <v>189</v>
      </c>
      <c r="I121" s="10" t="s">
        <v>190</v>
      </c>
      <c r="J121" s="10"/>
      <c r="K121" s="137">
        <v>5345</v>
      </c>
      <c r="L121" s="134">
        <f>Tableau1[[#This Row],[SPL (SDP)]]*0.87</f>
        <v>4650.1499999999996</v>
      </c>
      <c r="M121" s="134">
        <v>898.37</v>
      </c>
      <c r="N121" s="134">
        <f>Tableau1[[#This Row],[SPL (SDP)]]*0.63</f>
        <v>3367.35</v>
      </c>
      <c r="O121" s="184">
        <v>650.54</v>
      </c>
      <c r="P121" s="10"/>
      <c r="Q121" s="10">
        <v>88.5</v>
      </c>
      <c r="R121" s="10">
        <v>85</v>
      </c>
      <c r="S121" s="31">
        <f>IFERROR(Tableau1[[#This Row],[SUB TERTIAIRE]]/Tableau1[[#This Row],[POSTES DE TRAVAIL]],"")</f>
        <v>10.569058823529412</v>
      </c>
      <c r="T121" s="31">
        <f>IFERROR(Tableau1[[#This Row],[SUB TERTIAIRE]]/Tableau1[[#This Row],[RESIDENTS]],"")</f>
        <v>10.151073446327684</v>
      </c>
      <c r="U121" s="31">
        <f>Tableau1[[#This Row],[SUN]]/Tableau1[[#This Row],[SUB GENERALE]]</f>
        <v>0.72413793103448276</v>
      </c>
      <c r="V121"/>
      <c r="W121"/>
      <c r="Z121"/>
    </row>
    <row r="122" spans="2:26" x14ac:dyDescent="0.3">
      <c r="B122" s="10">
        <v>318584</v>
      </c>
      <c r="C122" s="10" t="s">
        <v>191</v>
      </c>
      <c r="D122" s="10" t="s">
        <v>23</v>
      </c>
      <c r="E122" s="10" t="s">
        <v>32</v>
      </c>
      <c r="F122" s="10" t="s">
        <v>25</v>
      </c>
      <c r="G122" s="10" t="s">
        <v>26</v>
      </c>
      <c r="H122" s="10" t="s">
        <v>189</v>
      </c>
      <c r="I122" s="10" t="s">
        <v>190</v>
      </c>
      <c r="J122" s="10"/>
      <c r="K122" s="137">
        <v>5867</v>
      </c>
      <c r="L122" s="134">
        <f>Tableau1[[#This Row],[SPL (SDP)]]*0.87</f>
        <v>5104.29</v>
      </c>
      <c r="M122" s="134">
        <v>861.93</v>
      </c>
      <c r="N122" s="134">
        <f>Tableau1[[#This Row],[SPL (SDP)]]*0.63</f>
        <v>3696.21</v>
      </c>
      <c r="O122" s="184">
        <v>624.15</v>
      </c>
      <c r="P122" s="10"/>
      <c r="Q122" s="10">
        <v>88</v>
      </c>
      <c r="R122" s="10">
        <v>97</v>
      </c>
      <c r="S122" s="31">
        <f>IFERROR(Tableau1[[#This Row],[SUB TERTIAIRE]]/Tableau1[[#This Row],[POSTES DE TRAVAIL]],"")</f>
        <v>8.8858762886597926</v>
      </c>
      <c r="T122" s="31">
        <f>IFERROR(Tableau1[[#This Row],[SUB TERTIAIRE]]/Tableau1[[#This Row],[RESIDENTS]],"")</f>
        <v>9.7946590909090911</v>
      </c>
      <c r="U122" s="31">
        <f>Tableau1[[#This Row],[SUN]]/Tableau1[[#This Row],[SUB GENERALE]]</f>
        <v>0.72413793103448276</v>
      </c>
      <c r="V122"/>
      <c r="W122"/>
      <c r="Z122"/>
    </row>
    <row r="123" spans="2:26" x14ac:dyDescent="0.3">
      <c r="B123" s="10">
        <v>426600</v>
      </c>
      <c r="C123" s="10" t="s">
        <v>192</v>
      </c>
      <c r="D123" s="10" t="s">
        <v>23</v>
      </c>
      <c r="E123" s="10" t="s">
        <v>32</v>
      </c>
      <c r="F123" s="10" t="s">
        <v>25</v>
      </c>
      <c r="G123" s="10" t="s">
        <v>26</v>
      </c>
      <c r="H123" s="10" t="s">
        <v>189</v>
      </c>
      <c r="I123" s="10" t="s">
        <v>190</v>
      </c>
      <c r="J123" s="10"/>
      <c r="K123" s="137">
        <v>6332</v>
      </c>
      <c r="L123" s="134">
        <f>Tableau1[[#This Row],[SPL (SDP)]]*0.87</f>
        <v>5508.84</v>
      </c>
      <c r="M123" s="134">
        <v>634.66999999999996</v>
      </c>
      <c r="N123" s="134">
        <f>Tableau1[[#This Row],[SPL (SDP)]]*0.63</f>
        <v>3989.16</v>
      </c>
      <c r="O123" s="184">
        <v>459.59</v>
      </c>
      <c r="P123" s="10"/>
      <c r="Q123" s="10">
        <v>167</v>
      </c>
      <c r="R123" s="10">
        <v>116</v>
      </c>
      <c r="S123" s="31">
        <f>IFERROR(Tableau1[[#This Row],[SUB TERTIAIRE]]/Tableau1[[#This Row],[POSTES DE TRAVAIL]],"")</f>
        <v>5.4712931034482759</v>
      </c>
      <c r="T123" s="31">
        <f>IFERROR(Tableau1[[#This Row],[SUB TERTIAIRE]]/Tableau1[[#This Row],[RESIDENTS]],"")</f>
        <v>3.8004191616766465</v>
      </c>
      <c r="U123" s="31">
        <f>Tableau1[[#This Row],[SUN]]/Tableau1[[#This Row],[SUB GENERALE]]</f>
        <v>0.72413793103448276</v>
      </c>
      <c r="V123"/>
      <c r="W123"/>
      <c r="Z123"/>
    </row>
    <row r="124" spans="2:26" x14ac:dyDescent="0.3">
      <c r="B124" s="10">
        <v>390469</v>
      </c>
      <c r="C124" s="10" t="s">
        <v>193</v>
      </c>
      <c r="D124" s="10" t="s">
        <v>23</v>
      </c>
      <c r="E124" s="10" t="s">
        <v>32</v>
      </c>
      <c r="F124" s="10" t="s">
        <v>25</v>
      </c>
      <c r="G124" s="10" t="s">
        <v>26</v>
      </c>
      <c r="H124" s="10" t="s">
        <v>189</v>
      </c>
      <c r="I124" s="10" t="s">
        <v>190</v>
      </c>
      <c r="J124" s="10"/>
      <c r="K124" s="137">
        <v>3807</v>
      </c>
      <c r="L124" s="134">
        <f>Tableau1[[#This Row],[SPL (SDP)]]*0.87</f>
        <v>3312.09</v>
      </c>
      <c r="M124" s="134">
        <v>264.85000000000002</v>
      </c>
      <c r="N124" s="134">
        <f>Tableau1[[#This Row],[SPL (SDP)]]*0.63</f>
        <v>2398.41</v>
      </c>
      <c r="O124" s="184">
        <v>191.78</v>
      </c>
      <c r="P124" s="10"/>
      <c r="Q124" s="10">
        <v>27</v>
      </c>
      <c r="R124" s="10">
        <v>20</v>
      </c>
      <c r="S124" s="31">
        <f>IFERROR(Tableau1[[#This Row],[SUB TERTIAIRE]]/Tableau1[[#This Row],[POSTES DE TRAVAIL]],"")</f>
        <v>13.242500000000001</v>
      </c>
      <c r="T124" s="31">
        <f>IFERROR(Tableau1[[#This Row],[SUB TERTIAIRE]]/Tableau1[[#This Row],[RESIDENTS]],"")</f>
        <v>9.8092592592592602</v>
      </c>
      <c r="U124" s="31">
        <f>Tableau1[[#This Row],[SUN]]/Tableau1[[#This Row],[SUB GENERALE]]</f>
        <v>0.72413793103448265</v>
      </c>
      <c r="V124"/>
      <c r="W124"/>
      <c r="Z124"/>
    </row>
    <row r="125" spans="2:26" x14ac:dyDescent="0.3">
      <c r="B125" s="10">
        <v>390471</v>
      </c>
      <c r="C125" s="10" t="s">
        <v>194</v>
      </c>
      <c r="D125" s="10" t="s">
        <v>23</v>
      </c>
      <c r="E125" s="10" t="s">
        <v>32</v>
      </c>
      <c r="F125" s="10" t="s">
        <v>25</v>
      </c>
      <c r="G125" s="10" t="s">
        <v>26</v>
      </c>
      <c r="H125" s="10" t="s">
        <v>189</v>
      </c>
      <c r="I125" s="10" t="s">
        <v>190</v>
      </c>
      <c r="J125" s="10"/>
      <c r="K125" s="137">
        <v>1701</v>
      </c>
      <c r="L125" s="134">
        <f>Tableau1[[#This Row],[SPL (SDP)]]*0.87</f>
        <v>1479.87</v>
      </c>
      <c r="M125" s="134">
        <v>213.65</v>
      </c>
      <c r="N125" s="134">
        <f>Tableau1[[#This Row],[SPL (SDP)]]*0.63</f>
        <v>1071.6300000000001</v>
      </c>
      <c r="O125" s="184">
        <v>154.72</v>
      </c>
      <c r="P125" s="10"/>
      <c r="Q125" s="10">
        <v>13</v>
      </c>
      <c r="R125" s="10">
        <v>25</v>
      </c>
      <c r="S125" s="31">
        <f>IFERROR(Tableau1[[#This Row],[SUB TERTIAIRE]]/Tableau1[[#This Row],[POSTES DE TRAVAIL]],"")</f>
        <v>8.5459999999999994</v>
      </c>
      <c r="T125" s="31">
        <f>IFERROR(Tableau1[[#This Row],[SUB TERTIAIRE]]/Tableau1[[#This Row],[RESIDENTS]],"")</f>
        <v>16.434615384615384</v>
      </c>
      <c r="U125" s="31">
        <f>Tableau1[[#This Row],[SUN]]/Tableau1[[#This Row],[SUB GENERALE]]</f>
        <v>0.72413793103448287</v>
      </c>
      <c r="V125"/>
      <c r="W125"/>
      <c r="Z125"/>
    </row>
    <row r="126" spans="2:26" x14ac:dyDescent="0.3">
      <c r="B126" s="10">
        <v>390412</v>
      </c>
      <c r="C126" s="10" t="s">
        <v>195</v>
      </c>
      <c r="D126" s="10" t="s">
        <v>23</v>
      </c>
      <c r="E126" s="10" t="s">
        <v>32</v>
      </c>
      <c r="F126" s="10" t="s">
        <v>25</v>
      </c>
      <c r="G126" s="10" t="s">
        <v>26</v>
      </c>
      <c r="H126" s="10" t="s">
        <v>189</v>
      </c>
      <c r="I126" s="10" t="s">
        <v>190</v>
      </c>
      <c r="J126" s="10"/>
      <c r="K126" s="137">
        <v>2688</v>
      </c>
      <c r="L126" s="134">
        <f>Tableau1[[#This Row],[SPL (SDP)]]*0.87</f>
        <v>2338.56</v>
      </c>
      <c r="M126" s="134">
        <v>46.95</v>
      </c>
      <c r="N126" s="134">
        <f>Tableau1[[#This Row],[SPL (SDP)]]*0.63</f>
        <v>1693.44</v>
      </c>
      <c r="O126" s="184">
        <v>34</v>
      </c>
      <c r="P126" s="10"/>
      <c r="Q126" s="10">
        <v>9</v>
      </c>
      <c r="R126" s="10">
        <v>17</v>
      </c>
      <c r="S126" s="31">
        <f>IFERROR(Tableau1[[#This Row],[SUB TERTIAIRE]]/Tableau1[[#This Row],[POSTES DE TRAVAIL]],"")</f>
        <v>2.7617647058823529</v>
      </c>
      <c r="T126" s="31">
        <f>IFERROR(Tableau1[[#This Row],[SUB TERTIAIRE]]/Tableau1[[#This Row],[RESIDENTS]],"")</f>
        <v>5.2166666666666668</v>
      </c>
      <c r="U126" s="31">
        <f>Tableau1[[#This Row],[SUN]]/Tableau1[[#This Row],[SUB GENERALE]]</f>
        <v>0.72413793103448276</v>
      </c>
      <c r="V126"/>
      <c r="W126"/>
      <c r="Z126"/>
    </row>
    <row r="127" spans="2:26" ht="21" customHeight="1" x14ac:dyDescent="0.3">
      <c r="B127" s="10" t="s">
        <v>37</v>
      </c>
      <c r="C127" s="10" t="s">
        <v>196</v>
      </c>
      <c r="D127" s="10" t="s">
        <v>53</v>
      </c>
      <c r="E127" s="10" t="s">
        <v>54</v>
      </c>
      <c r="F127" s="10" t="s">
        <v>25</v>
      </c>
      <c r="G127" s="10" t="s">
        <v>26</v>
      </c>
      <c r="H127" s="10" t="s">
        <v>189</v>
      </c>
      <c r="I127" s="10" t="s">
        <v>190</v>
      </c>
      <c r="J127" s="10"/>
      <c r="K127" s="137">
        <v>0</v>
      </c>
      <c r="L127" s="134">
        <f>Tableau1[[#This Row],[SPL (SDP)]]*0.87</f>
        <v>0</v>
      </c>
      <c r="M127" s="135">
        <v>0</v>
      </c>
      <c r="N127" s="134">
        <f>Tableau1[[#This Row],[SPL (SDP)]]*0.63</f>
        <v>0</v>
      </c>
      <c r="O127" s="184">
        <v>0</v>
      </c>
      <c r="P127" s="10"/>
      <c r="Q127" s="10">
        <v>0</v>
      </c>
      <c r="R127" s="10">
        <v>0</v>
      </c>
      <c r="S127" s="31" t="str">
        <f>IFERROR(Tableau1[[#This Row],[SUB TERTIAIRE]]/Tableau1[[#This Row],[POSTES DE TRAVAIL]],"")</f>
        <v/>
      </c>
      <c r="T127" s="31" t="str">
        <f>IFERROR(Tableau1[[#This Row],[SUB TERTIAIRE]]/Tableau1[[#This Row],[RESIDENTS]],"")</f>
        <v/>
      </c>
      <c r="U127" s="31" t="s">
        <v>37</v>
      </c>
      <c r="V127"/>
      <c r="W127"/>
      <c r="Z127"/>
    </row>
    <row r="128" spans="2:26" s="23" customFormat="1" ht="15" thickBot="1" x14ac:dyDescent="0.35">
      <c r="B128" s="32" t="s">
        <v>197</v>
      </c>
      <c r="C128" s="32"/>
      <c r="D128" s="32"/>
      <c r="E128" s="32"/>
      <c r="F128" s="33"/>
      <c r="G128" s="32"/>
      <c r="H128" s="32"/>
      <c r="I128" s="32"/>
      <c r="J128" s="32"/>
      <c r="K128" s="140">
        <f>SUBTOTAL(9,K121:K127)</f>
        <v>25740</v>
      </c>
      <c r="L128" s="133">
        <f t="shared" ref="L128" si="34">SUBTOTAL(9,L121:L127)</f>
        <v>22393.8</v>
      </c>
      <c r="M128" s="133">
        <f>SUBTOTAL(9,M121:M127)</f>
        <v>2920.4199999999996</v>
      </c>
      <c r="N128" s="133">
        <f t="shared" ref="N128:R128" si="35">SUBTOTAL(9,N121:N127)</f>
        <v>16216.199999999999</v>
      </c>
      <c r="O128" s="183">
        <f>SUBTOTAL(9,O121:O127)</f>
        <v>2114.7799999999997</v>
      </c>
      <c r="P128" s="32">
        <f t="shared" si="35"/>
        <v>0</v>
      </c>
      <c r="Q128" s="32">
        <f t="shared" si="35"/>
        <v>392.5</v>
      </c>
      <c r="R128" s="32">
        <f t="shared" si="35"/>
        <v>360</v>
      </c>
      <c r="S128" s="34">
        <f>IFERROR(Tableau1[[#This Row],[SUB TERTIAIRE]]/Tableau1[[#This Row],[POSTES DE TRAVAIL]],"")</f>
        <v>8.112277777777777</v>
      </c>
      <c r="T128" s="34">
        <f>IFERROR(Tableau1[[#This Row],[SUB TERTIAIRE]]/Tableau1[[#This Row],[RESIDENTS]],"")</f>
        <v>7.4405605095541389</v>
      </c>
      <c r="U128" s="35">
        <f>IFERROR(Tableau1[[#This Row],[SUN]]/Tableau1[[#This Row],[SUB GENERALE]],"")</f>
        <v>0.72413793103448276</v>
      </c>
    </row>
    <row r="129" spans="2:26" ht="15" thickTop="1" x14ac:dyDescent="0.3">
      <c r="B129" s="10">
        <v>320316</v>
      </c>
      <c r="C129" s="10" t="s">
        <v>198</v>
      </c>
      <c r="D129" s="10" t="s">
        <v>23</v>
      </c>
      <c r="E129" s="10" t="s">
        <v>32</v>
      </c>
      <c r="F129" s="10" t="s">
        <v>25</v>
      </c>
      <c r="G129" s="10" t="s">
        <v>26</v>
      </c>
      <c r="H129" s="10" t="s">
        <v>199</v>
      </c>
      <c r="I129" s="10" t="s">
        <v>190</v>
      </c>
      <c r="J129" s="10"/>
      <c r="K129" s="137">
        <v>7110</v>
      </c>
      <c r="L129" s="134">
        <f>Tableau1[[#This Row],[SPL (SDP)]]*0.87</f>
        <v>6185.7</v>
      </c>
      <c r="M129" s="134">
        <v>202.47</v>
      </c>
      <c r="N129" s="134">
        <f>Tableau1[[#This Row],[SPL (SDP)]]*0.63</f>
        <v>4479.3</v>
      </c>
      <c r="O129" s="184">
        <v>146.61000000000001</v>
      </c>
      <c r="P129" s="10"/>
      <c r="Q129" s="10">
        <v>50</v>
      </c>
      <c r="R129" s="10">
        <v>50</v>
      </c>
      <c r="S129" s="31">
        <f>IFERROR(Tableau1[[#This Row],[SUB TERTIAIRE]]/Tableau1[[#This Row],[POSTES DE TRAVAIL]],"")</f>
        <v>4.0494000000000003</v>
      </c>
      <c r="T129" s="31">
        <f>IFERROR(Tableau1[[#This Row],[SUB TERTIAIRE]]/Tableau1[[#This Row],[RESIDENTS]],"")</f>
        <v>4.0494000000000003</v>
      </c>
      <c r="U129" s="31">
        <f>Tableau1[[#This Row],[SUN]]/Tableau1[[#This Row],[SUB GENERALE]]</f>
        <v>0.72413793103448276</v>
      </c>
      <c r="V129"/>
      <c r="W129"/>
      <c r="Z129"/>
    </row>
    <row r="130" spans="2:26" s="23" customFormat="1" ht="15" thickBot="1" x14ac:dyDescent="0.35">
      <c r="B130" s="32" t="s">
        <v>198</v>
      </c>
      <c r="C130" s="32"/>
      <c r="D130" s="32"/>
      <c r="E130" s="32"/>
      <c r="F130" s="33"/>
      <c r="G130" s="32"/>
      <c r="H130" s="32"/>
      <c r="I130" s="32"/>
      <c r="J130" s="32"/>
      <c r="K130" s="140">
        <f>K129</f>
        <v>7110</v>
      </c>
      <c r="L130" s="133">
        <f>L129</f>
        <v>6185.7</v>
      </c>
      <c r="M130" s="133">
        <f>M129</f>
        <v>202.47</v>
      </c>
      <c r="N130" s="133">
        <f>N129</f>
        <v>4479.3</v>
      </c>
      <c r="O130" s="183">
        <f>SUBTOTAL(9,O129)</f>
        <v>146.61000000000001</v>
      </c>
      <c r="P130" s="32">
        <f>SUBTOTAL(9,P129)</f>
        <v>0</v>
      </c>
      <c r="Q130" s="32">
        <f>Q129</f>
        <v>50</v>
      </c>
      <c r="R130" s="32">
        <f>R129</f>
        <v>50</v>
      </c>
      <c r="S130" s="34">
        <f>IFERROR(Tableau1[[#This Row],[SUB TERTIAIRE]]/Tableau1[[#This Row],[POSTES DE TRAVAIL]],"")</f>
        <v>4.0494000000000003</v>
      </c>
      <c r="T130" s="34">
        <f>IFERROR(Tableau1[[#This Row],[SUB TERTIAIRE]]/Tableau1[[#This Row],[RESIDENTS]],"")</f>
        <v>4.0494000000000003</v>
      </c>
      <c r="U130" s="35">
        <f>IFERROR(Tableau1[[#This Row],[SUN]]/Tableau1[[#This Row],[SUB GENERALE]],"")</f>
        <v>0.72413793103448276</v>
      </c>
    </row>
    <row r="131" spans="2:26" ht="15" thickTop="1" x14ac:dyDescent="0.3">
      <c r="B131" s="10">
        <v>320865</v>
      </c>
      <c r="C131" s="10" t="s">
        <v>200</v>
      </c>
      <c r="D131" s="10" t="s">
        <v>23</v>
      </c>
      <c r="E131" s="10" t="s">
        <v>32</v>
      </c>
      <c r="F131" s="10" t="s">
        <v>201</v>
      </c>
      <c r="G131" s="10" t="s">
        <v>202</v>
      </c>
      <c r="H131" s="10" t="s">
        <v>203</v>
      </c>
      <c r="I131" s="10" t="s">
        <v>190</v>
      </c>
      <c r="J131" s="10"/>
      <c r="K131" s="137">
        <v>2775</v>
      </c>
      <c r="L131" s="134">
        <f>Tableau1[[#This Row],[SPL (SDP)]]*0.87</f>
        <v>2414.25</v>
      </c>
      <c r="M131" s="134">
        <v>174.01</v>
      </c>
      <c r="N131" s="134">
        <f>Tableau1[[#This Row],[SPL (SDP)]]*0.63</f>
        <v>1748.25</v>
      </c>
      <c r="O131" s="184">
        <v>126.01</v>
      </c>
      <c r="P131" s="10"/>
      <c r="Q131" s="10">
        <v>124</v>
      </c>
      <c r="R131" s="10">
        <v>164</v>
      </c>
      <c r="S131" s="31">
        <f>IFERROR(Tableau1[[#This Row],[SUB TERTIAIRE]]/Tableau1[[#This Row],[POSTES DE TRAVAIL]],"")</f>
        <v>1.0610365853658537</v>
      </c>
      <c r="T131" s="31">
        <f>IFERROR(Tableau1[[#This Row],[SUB TERTIAIRE]]/Tableau1[[#This Row],[RESIDENTS]],"")</f>
        <v>1.4033064516129032</v>
      </c>
      <c r="U131" s="31">
        <f>Tableau1[[#This Row],[SUN]]/Tableau1[[#This Row],[SUB GENERALE]]</f>
        <v>0.72413793103448276</v>
      </c>
      <c r="V131"/>
      <c r="W131"/>
      <c r="Z131"/>
    </row>
    <row r="132" spans="2:26" s="23" customFormat="1" ht="15" thickBot="1" x14ac:dyDescent="0.35">
      <c r="B132" s="32" t="s">
        <v>200</v>
      </c>
      <c r="C132" s="32"/>
      <c r="D132" s="32"/>
      <c r="E132" s="32"/>
      <c r="F132" s="33"/>
      <c r="G132" s="32"/>
      <c r="H132" s="32"/>
      <c r="I132" s="32"/>
      <c r="J132" s="32"/>
      <c r="K132" s="140">
        <f>K131</f>
        <v>2775</v>
      </c>
      <c r="L132" s="133">
        <f>L131</f>
        <v>2414.25</v>
      </c>
      <c r="M132" s="133">
        <f>M131</f>
        <v>174.01</v>
      </c>
      <c r="N132" s="133">
        <f>N131</f>
        <v>1748.25</v>
      </c>
      <c r="O132" s="183">
        <f>SUBTOTAL(9,O131)</f>
        <v>126.01</v>
      </c>
      <c r="P132" s="32">
        <f>SUBTOTAL(9,P127:P131)</f>
        <v>0</v>
      </c>
      <c r="Q132" s="32">
        <f>Q131</f>
        <v>124</v>
      </c>
      <c r="R132" s="32">
        <f>R131</f>
        <v>164</v>
      </c>
      <c r="S132" s="34">
        <f>IFERROR(Tableau1[[#This Row],[SUB TERTIAIRE]]/Tableau1[[#This Row],[POSTES DE TRAVAIL]],"")</f>
        <v>1.0610365853658537</v>
      </c>
      <c r="T132" s="34">
        <f>IFERROR(Tableau1[[#This Row],[SUB TERTIAIRE]]/Tableau1[[#This Row],[RESIDENTS]],"")</f>
        <v>1.4033064516129032</v>
      </c>
      <c r="U132" s="35">
        <f>IFERROR(Tableau1[[#This Row],[SUN]]/Tableau1[[#This Row],[SUB GENERALE]],"")</f>
        <v>0.72413793103448276</v>
      </c>
    </row>
    <row r="133" spans="2:26" s="23" customFormat="1" ht="19.5" customHeight="1" thickTop="1" thickBot="1" x14ac:dyDescent="0.35">
      <c r="B133" s="38" t="s">
        <v>204</v>
      </c>
      <c r="C133" s="38"/>
      <c r="D133" s="38"/>
      <c r="E133" s="38"/>
      <c r="F133" s="39"/>
      <c r="G133" s="38"/>
      <c r="H133" s="38"/>
      <c r="I133" s="38"/>
      <c r="J133" s="38"/>
      <c r="K133" s="139">
        <f>K132+K130+K128</f>
        <v>35625</v>
      </c>
      <c r="L133" s="139">
        <f>L132+L130+L128</f>
        <v>30993.75</v>
      </c>
      <c r="M133" s="139">
        <f>M132+M130+M128</f>
        <v>3296.8999999999996</v>
      </c>
      <c r="N133" s="139">
        <f t="shared" ref="N133" si="36">N132+N130+N128</f>
        <v>22443.75</v>
      </c>
      <c r="O133" s="178">
        <f>O132+O130+O128</f>
        <v>2387.3999999999996</v>
      </c>
      <c r="P133" s="132">
        <f t="shared" ref="P133" si="37">P132+P130+P128</f>
        <v>0</v>
      </c>
      <c r="Q133" s="38">
        <f t="shared" ref="Q133" si="38">Q132+Q130+Q128</f>
        <v>566.5</v>
      </c>
      <c r="R133" s="38">
        <f t="shared" ref="R133" si="39">R132+R130+R128</f>
        <v>574</v>
      </c>
      <c r="S133" s="40">
        <f>IFERROR(Tableau1[[#This Row],[SUB TERTIAIRE]]/Tableau1[[#This Row],[POSTES DE TRAVAIL]],"")</f>
        <v>5.7437282229965154</v>
      </c>
      <c r="T133" s="40">
        <f>IFERROR(Tableau1[[#This Row],[SUB TERTIAIRE]]/Tableau1[[#This Row],[RESIDENTS]],"")</f>
        <v>5.8197705207413941</v>
      </c>
      <c r="U133" s="41">
        <f>IFERROR(Tableau1[[#This Row],[SUN]]/Tableau1[[#This Row],[SUB GENERALE]],"")</f>
        <v>0.72413793103448276</v>
      </c>
    </row>
    <row r="134" spans="2:26" s="25" customFormat="1" ht="21" customHeight="1" thickTop="1" thickBot="1" x14ac:dyDescent="0.35">
      <c r="B134" s="141" t="s">
        <v>205</v>
      </c>
      <c r="C134" s="141"/>
      <c r="D134" s="141"/>
      <c r="E134" s="141"/>
      <c r="F134" s="142"/>
      <c r="G134" s="141"/>
      <c r="H134" s="141"/>
      <c r="I134" s="141"/>
      <c r="J134" s="141"/>
      <c r="K134" s="143">
        <f>K133+K120+K110+K98+K87+K77+K68+K60+K46</f>
        <v>283990</v>
      </c>
      <c r="L134" s="143">
        <f>L133+L120+L110+L98+L87+L77+L68+L60+L46</f>
        <v>240277.46999999997</v>
      </c>
      <c r="M134" s="143">
        <f>M133+M120+M110+M98+M87+M77+M68+M60+M46</f>
        <v>26111.862999999998</v>
      </c>
      <c r="N134" s="143" t="e">
        <f>#REF!+N133+N120+N110+N98+N87+N77+N68+N60+N46</f>
        <v>#REF!</v>
      </c>
      <c r="O134" s="179" t="e">
        <f>#REF!+O133+O120+O110+O98+O87+O77+O68+O60+O46</f>
        <v>#REF!</v>
      </c>
      <c r="P134" s="143">
        <f>P133+P120+P110+P98+P87+P77+P68+P60+P46</f>
        <v>3323</v>
      </c>
      <c r="Q134" s="143">
        <f>Q133+Q120+Q110+Q98+Q87+Q77+Q68+Q60+Q46</f>
        <v>4120.8999999999996</v>
      </c>
      <c r="R134" s="143">
        <f>R133+R120+R110+R98+R87+R77+R68+R60+R46</f>
        <v>4993</v>
      </c>
      <c r="S134" s="144">
        <f>IFERROR(Tableau1[[#This Row],[SUB TERTIAIRE]]/Tableau1[[#This Row],[POSTES DE TRAVAIL]],"")</f>
        <v>5.2296941718405767</v>
      </c>
      <c r="T134" s="144">
        <f>IFERROR(Tableau1[[#This Row],[SUB TERTIAIRE]]/Tableau1[[#This Row],[RESIDENTS]],"")</f>
        <v>6.3364466500036398</v>
      </c>
      <c r="U134" s="145">
        <v>0.72</v>
      </c>
    </row>
    <row r="135" spans="2:26" ht="15" thickTop="1" x14ac:dyDescent="0.3"/>
    <row r="137" spans="2:26" x14ac:dyDescent="0.3">
      <c r="J137" s="147"/>
      <c r="K137" s="202"/>
      <c r="L137" s="150"/>
      <c r="N137" s="150">
        <v>174969.84734042946</v>
      </c>
    </row>
    <row r="138" spans="2:26" x14ac:dyDescent="0.3">
      <c r="K138" s="203"/>
      <c r="L138" s="151"/>
      <c r="N138" s="151"/>
    </row>
    <row r="139" spans="2:26" x14ac:dyDescent="0.3">
      <c r="K139" s="203"/>
      <c r="L139" s="151"/>
      <c r="N139" s="151" t="e">
        <f>N134-N137</f>
        <v>#REF!</v>
      </c>
    </row>
    <row r="140" spans="2:26" x14ac:dyDescent="0.3">
      <c r="B140" s="210"/>
      <c r="K140" s="203"/>
      <c r="M140" s="203"/>
      <c r="N140" s="151"/>
    </row>
    <row r="141" spans="2:26" x14ac:dyDescent="0.3">
      <c r="B141" s="210"/>
      <c r="K141" s="203"/>
      <c r="M141" s="203"/>
      <c r="N141" s="151"/>
    </row>
    <row r="142" spans="2:26" x14ac:dyDescent="0.3">
      <c r="B142" s="210"/>
    </row>
    <row r="143" spans="2:26" x14ac:dyDescent="0.3">
      <c r="B143" s="211"/>
    </row>
    <row r="144" spans="2:26" x14ac:dyDescent="0.3">
      <c r="B144" s="211"/>
    </row>
    <row r="145" spans="2:2" x14ac:dyDescent="0.3">
      <c r="B145" s="210"/>
    </row>
    <row r="146" spans="2:2" x14ac:dyDescent="0.3">
      <c r="B146" s="210"/>
    </row>
    <row r="147" spans="2:2" x14ac:dyDescent="0.3">
      <c r="B147" s="210"/>
    </row>
    <row r="148" spans="2:2" x14ac:dyDescent="0.3">
      <c r="B148" s="212"/>
    </row>
    <row r="149" spans="2:2" x14ac:dyDescent="0.3">
      <c r="B149" s="212"/>
    </row>
  </sheetData>
  <dataValidations count="1">
    <dataValidation type="list" allowBlank="1" showInputMessage="1" showErrorMessage="1" sqref="J108:K108 G61:G67 J131:K131 J94:K96 G131 G5 J92:K92 J88:K88 G92 G88 J90:K90 J104:K104 G90 J85:K85 G104 G108 J5:K5 G85 G94:G96 J73:K73 J129:K129 G73 G129 J121:K127 G106 G121:G127 J61:K67" xr:uid="{293D2008-AA07-41FA-AF82-82E15BF39EB5}">
      <formula1>ON</formula1>
    </dataValidation>
  </dataValidations>
  <pageMargins left="0.7" right="0.7" top="0.75" bottom="0.75" header="0.3" footer="0.3"/>
  <pageSetup paperSize="9" orientation="portrait" horizontalDpi="0" verticalDpi="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92633-C6F5-4393-B1BD-B9A8DFBCCC96}">
  <sheetPr>
    <tabColor theme="4" tint="0.59999389629810485"/>
    <pageSetUpPr fitToPage="1"/>
  </sheetPr>
  <dimension ref="A1:I129"/>
  <sheetViews>
    <sheetView showGridLines="0" zoomScale="80" zoomScaleNormal="80" workbookViewId="0">
      <pane xSplit="3" ySplit="2" topLeftCell="D27" activePane="bottomRight" state="frozen"/>
      <selection pane="topRight" activeCell="D1" sqref="D1"/>
      <selection pane="bottomLeft" activeCell="A3" sqref="A3"/>
      <selection pane="bottomRight" activeCell="E37" sqref="E37"/>
    </sheetView>
  </sheetViews>
  <sheetFormatPr baseColWidth="10" defaultColWidth="11.44140625" defaultRowHeight="14.4" x14ac:dyDescent="0.3"/>
  <cols>
    <col min="1" max="1" width="0.6640625" customWidth="1"/>
    <col min="2" max="2" width="14.6640625" style="3" customWidth="1"/>
    <col min="3" max="3" width="19.44140625" style="3" customWidth="1"/>
    <col min="4" max="4" width="13.44140625" style="2" customWidth="1"/>
    <col min="5" max="5" width="54" style="2" customWidth="1"/>
    <col min="6" max="6" width="41.44140625" style="2" customWidth="1"/>
    <col min="7" max="7" width="50.44140625" style="2" customWidth="1"/>
    <col min="8" max="8" width="49.44140625" style="2" customWidth="1"/>
    <col min="9" max="9" width="49.109375" style="2" customWidth="1"/>
  </cols>
  <sheetData>
    <row r="1" spans="2:9" ht="27.75" customHeight="1" x14ac:dyDescent="0.3">
      <c r="B1" s="1" t="s">
        <v>0</v>
      </c>
      <c r="C1"/>
      <c r="E1" s="74" t="s">
        <v>206</v>
      </c>
      <c r="F1" s="72" t="s">
        <v>207</v>
      </c>
      <c r="G1" s="71" t="s">
        <v>208</v>
      </c>
      <c r="H1" s="72" t="s">
        <v>209</v>
      </c>
      <c r="I1" s="72" t="s">
        <v>210</v>
      </c>
    </row>
    <row r="2" spans="2:9" ht="41.25" customHeight="1" thickBot="1" x14ac:dyDescent="0.35">
      <c r="B2" s="88" t="s">
        <v>211</v>
      </c>
      <c r="C2" s="88" t="s">
        <v>212</v>
      </c>
      <c r="D2" s="88" t="s">
        <v>213</v>
      </c>
      <c r="E2" s="67" t="s">
        <v>214</v>
      </c>
      <c r="F2" s="68" t="s">
        <v>215</v>
      </c>
      <c r="G2" s="68" t="s">
        <v>216</v>
      </c>
      <c r="H2" s="69" t="s">
        <v>217</v>
      </c>
      <c r="I2" s="70" t="s">
        <v>218</v>
      </c>
    </row>
    <row r="3" spans="2:9" ht="14.25" customHeight="1" x14ac:dyDescent="0.3">
      <c r="B3" s="66" t="s">
        <v>21</v>
      </c>
      <c r="C3" s="9"/>
      <c r="D3" s="8"/>
      <c r="E3" s="8"/>
      <c r="F3" s="8"/>
      <c r="G3" s="8"/>
      <c r="H3" s="8"/>
      <c r="I3" s="8"/>
    </row>
    <row r="4" spans="2:9" ht="152.55000000000001" customHeight="1" x14ac:dyDescent="0.3">
      <c r="B4" s="12" t="s">
        <v>219</v>
      </c>
      <c r="C4" s="12"/>
      <c r="D4" s="13"/>
      <c r="E4" s="91" t="s">
        <v>220</v>
      </c>
      <c r="F4" s="91" t="s">
        <v>221</v>
      </c>
      <c r="G4" s="13"/>
      <c r="H4" s="91" t="s">
        <v>222</v>
      </c>
      <c r="I4" s="13"/>
    </row>
    <row r="5" spans="2:9" ht="28.8" x14ac:dyDescent="0.3">
      <c r="B5" s="75" t="s">
        <v>223</v>
      </c>
      <c r="C5" s="75" t="s">
        <v>22</v>
      </c>
      <c r="D5" s="75" t="s">
        <v>224</v>
      </c>
      <c r="E5" s="76" t="s">
        <v>225</v>
      </c>
      <c r="F5" s="76" t="s">
        <v>226</v>
      </c>
      <c r="G5" s="76" t="s">
        <v>227</v>
      </c>
      <c r="H5" s="76" t="s">
        <v>228</v>
      </c>
      <c r="I5" s="76" t="s">
        <v>229</v>
      </c>
    </row>
    <row r="6" spans="2:9" ht="43.2" x14ac:dyDescent="0.3">
      <c r="B6" s="75" t="s">
        <v>230</v>
      </c>
      <c r="C6" s="75" t="s">
        <v>29</v>
      </c>
      <c r="D6" s="75" t="s">
        <v>224</v>
      </c>
      <c r="E6" s="76" t="s">
        <v>231</v>
      </c>
      <c r="F6" s="76" t="s">
        <v>231</v>
      </c>
      <c r="G6" s="76" t="s">
        <v>232</v>
      </c>
      <c r="H6" s="76" t="s">
        <v>233</v>
      </c>
      <c r="I6" s="76" t="s">
        <v>234</v>
      </c>
    </row>
    <row r="7" spans="2:9" ht="43.2" x14ac:dyDescent="0.3">
      <c r="B7" s="75" t="s">
        <v>235</v>
      </c>
      <c r="C7" s="75" t="s">
        <v>31</v>
      </c>
      <c r="D7" s="75" t="s">
        <v>224</v>
      </c>
      <c r="E7" s="76" t="s">
        <v>225</v>
      </c>
      <c r="F7" s="76" t="s">
        <v>236</v>
      </c>
      <c r="G7" s="76" t="s">
        <v>237</v>
      </c>
      <c r="H7" s="76" t="s">
        <v>231</v>
      </c>
      <c r="I7" s="76" t="s">
        <v>238</v>
      </c>
    </row>
    <row r="8" spans="2:9" s="80" customFormat="1" ht="43.2" x14ac:dyDescent="0.3">
      <c r="B8" s="75" t="s">
        <v>239</v>
      </c>
      <c r="C8" s="75" t="s">
        <v>33</v>
      </c>
      <c r="D8" s="75" t="s">
        <v>224</v>
      </c>
      <c r="E8" s="76" t="s">
        <v>231</v>
      </c>
      <c r="F8" s="76" t="s">
        <v>231</v>
      </c>
      <c r="G8" s="76" t="s">
        <v>702</v>
      </c>
      <c r="H8" s="76" t="s">
        <v>240</v>
      </c>
      <c r="I8" s="76" t="s">
        <v>241</v>
      </c>
    </row>
    <row r="9" spans="2:9" ht="43.2" x14ac:dyDescent="0.3">
      <c r="B9" s="75" t="s">
        <v>242</v>
      </c>
      <c r="C9" s="75" t="s">
        <v>34</v>
      </c>
      <c r="D9" s="75" t="s">
        <v>224</v>
      </c>
      <c r="E9" s="76" t="s">
        <v>243</v>
      </c>
      <c r="F9" s="76" t="s">
        <v>231</v>
      </c>
      <c r="G9" s="76" t="s">
        <v>706</v>
      </c>
      <c r="H9" s="76" t="s">
        <v>244</v>
      </c>
      <c r="I9" s="76" t="s">
        <v>245</v>
      </c>
    </row>
    <row r="10" spans="2:9" ht="43.2" x14ac:dyDescent="0.3">
      <c r="B10" s="75" t="s">
        <v>246</v>
      </c>
      <c r="C10" s="75" t="s">
        <v>36</v>
      </c>
      <c r="D10" s="75" t="s">
        <v>224</v>
      </c>
      <c r="E10" s="76" t="s">
        <v>231</v>
      </c>
      <c r="F10" s="76" t="s">
        <v>231</v>
      </c>
      <c r="G10" s="76" t="s">
        <v>247</v>
      </c>
      <c r="H10" s="76"/>
      <c r="I10" s="76" t="s">
        <v>241</v>
      </c>
    </row>
    <row r="11" spans="2:9" ht="30" customHeight="1" x14ac:dyDescent="0.3">
      <c r="B11" s="81" t="s">
        <v>248</v>
      </c>
      <c r="C11" s="75" t="s">
        <v>249</v>
      </c>
      <c r="D11" s="75" t="s">
        <v>224</v>
      </c>
      <c r="E11" s="89" t="s">
        <v>250</v>
      </c>
      <c r="F11" s="82"/>
      <c r="G11" s="82"/>
      <c r="H11" s="82"/>
      <c r="I11" s="82"/>
    </row>
    <row r="12" spans="2:9" ht="57.6" x14ac:dyDescent="0.3">
      <c r="B12" s="75" t="s">
        <v>251</v>
      </c>
      <c r="C12" s="75" t="s">
        <v>39</v>
      </c>
      <c r="D12" s="75" t="s">
        <v>224</v>
      </c>
      <c r="E12" s="76" t="s">
        <v>231</v>
      </c>
      <c r="F12" s="76" t="s">
        <v>231</v>
      </c>
      <c r="G12" s="76" t="s">
        <v>252</v>
      </c>
      <c r="H12" s="76" t="s">
        <v>231</v>
      </c>
      <c r="I12" s="76" t="s">
        <v>241</v>
      </c>
    </row>
    <row r="13" spans="2:9" ht="57.6" x14ac:dyDescent="0.3">
      <c r="B13" s="75" t="s">
        <v>253</v>
      </c>
      <c r="C13" s="75" t="s">
        <v>40</v>
      </c>
      <c r="D13" s="75" t="s">
        <v>224</v>
      </c>
      <c r="E13" s="76" t="s">
        <v>231</v>
      </c>
      <c r="F13" s="76" t="s">
        <v>231</v>
      </c>
      <c r="G13" s="76" t="s">
        <v>254</v>
      </c>
      <c r="H13" s="76" t="s">
        <v>231</v>
      </c>
      <c r="I13" s="76" t="s">
        <v>241</v>
      </c>
    </row>
    <row r="14" spans="2:9" ht="43.2" x14ac:dyDescent="0.3">
      <c r="B14" s="75" t="s">
        <v>255</v>
      </c>
      <c r="C14" s="75" t="s">
        <v>256</v>
      </c>
      <c r="D14" s="75" t="s">
        <v>224</v>
      </c>
      <c r="E14" s="76" t="s">
        <v>231</v>
      </c>
      <c r="F14" s="76" t="s">
        <v>231</v>
      </c>
      <c r="G14" s="76" t="s">
        <v>257</v>
      </c>
      <c r="H14" s="76" t="s">
        <v>258</v>
      </c>
      <c r="I14" s="76" t="s">
        <v>241</v>
      </c>
    </row>
    <row r="15" spans="2:9" ht="28.5" customHeight="1" x14ac:dyDescent="0.3">
      <c r="B15" s="75" t="s">
        <v>259</v>
      </c>
      <c r="C15" s="75" t="s">
        <v>42</v>
      </c>
      <c r="D15" s="75" t="s">
        <v>224</v>
      </c>
      <c r="E15" s="76" t="s">
        <v>243</v>
      </c>
      <c r="F15" s="76" t="s">
        <v>231</v>
      </c>
      <c r="G15" s="76" t="s">
        <v>231</v>
      </c>
      <c r="H15" s="76" t="s">
        <v>231</v>
      </c>
      <c r="I15" s="76" t="s">
        <v>231</v>
      </c>
    </row>
    <row r="16" spans="2:9" ht="43.2" x14ac:dyDescent="0.3">
      <c r="B16" s="75" t="s">
        <v>260</v>
      </c>
      <c r="C16" s="75" t="s">
        <v>261</v>
      </c>
      <c r="D16" s="75" t="s">
        <v>224</v>
      </c>
      <c r="E16" s="76" t="s">
        <v>231</v>
      </c>
      <c r="F16" s="76" t="s">
        <v>231</v>
      </c>
      <c r="G16" s="76" t="s">
        <v>262</v>
      </c>
      <c r="H16" s="76" t="s">
        <v>231</v>
      </c>
      <c r="I16" s="76" t="s">
        <v>241</v>
      </c>
    </row>
    <row r="17" spans="1:9" ht="57.6" x14ac:dyDescent="0.3">
      <c r="A17" t="s">
        <v>263</v>
      </c>
      <c r="B17" s="75" t="s">
        <v>264</v>
      </c>
      <c r="C17" s="75" t="s">
        <v>44</v>
      </c>
      <c r="D17" s="75" t="s">
        <v>224</v>
      </c>
      <c r="E17" s="76" t="s">
        <v>231</v>
      </c>
      <c r="F17" s="76" t="s">
        <v>231</v>
      </c>
      <c r="G17" s="76" t="s">
        <v>265</v>
      </c>
      <c r="H17" s="76" t="s">
        <v>266</v>
      </c>
      <c r="I17" s="76" t="s">
        <v>241</v>
      </c>
    </row>
    <row r="18" spans="1:9" ht="86.4" x14ac:dyDescent="0.3">
      <c r="B18" s="75" t="s">
        <v>267</v>
      </c>
      <c r="C18" s="75" t="s">
        <v>45</v>
      </c>
      <c r="D18" s="75" t="s">
        <v>224</v>
      </c>
      <c r="E18" s="76" t="s">
        <v>231</v>
      </c>
      <c r="F18" s="76" t="s">
        <v>231</v>
      </c>
      <c r="G18" s="76" t="s">
        <v>268</v>
      </c>
      <c r="H18" s="76" t="s">
        <v>269</v>
      </c>
      <c r="I18" s="76" t="s">
        <v>241</v>
      </c>
    </row>
    <row r="19" spans="1:9" ht="75.75" customHeight="1" x14ac:dyDescent="0.3">
      <c r="B19" s="75" t="s">
        <v>270</v>
      </c>
      <c r="C19" s="75" t="s">
        <v>46</v>
      </c>
      <c r="D19" s="75" t="s">
        <v>224</v>
      </c>
      <c r="E19" s="76" t="s">
        <v>225</v>
      </c>
      <c r="F19" s="76" t="s">
        <v>271</v>
      </c>
      <c r="G19" s="76" t="s">
        <v>272</v>
      </c>
      <c r="H19" s="76" t="s">
        <v>273</v>
      </c>
      <c r="I19" s="76" t="s">
        <v>241</v>
      </c>
    </row>
    <row r="20" spans="1:9" ht="28.8" x14ac:dyDescent="0.3">
      <c r="B20" s="75" t="s">
        <v>274</v>
      </c>
      <c r="C20" s="75" t="s">
        <v>47</v>
      </c>
      <c r="D20" s="75" t="s">
        <v>224</v>
      </c>
      <c r="E20" s="76" t="s">
        <v>243</v>
      </c>
      <c r="F20" s="76" t="s">
        <v>231</v>
      </c>
      <c r="G20" s="76" t="s">
        <v>275</v>
      </c>
      <c r="H20" s="76" t="s">
        <v>276</v>
      </c>
      <c r="I20" s="76" t="s">
        <v>277</v>
      </c>
    </row>
    <row r="21" spans="1:9" ht="43.2" x14ac:dyDescent="0.3">
      <c r="B21" s="75" t="s">
        <v>278</v>
      </c>
      <c r="C21" s="75" t="s">
        <v>48</v>
      </c>
      <c r="D21" s="75" t="s">
        <v>224</v>
      </c>
      <c r="E21" s="76" t="s">
        <v>231</v>
      </c>
      <c r="F21" s="76" t="s">
        <v>231</v>
      </c>
      <c r="G21" s="76" t="s">
        <v>279</v>
      </c>
      <c r="H21" s="76" t="s">
        <v>276</v>
      </c>
      <c r="I21" s="76" t="s">
        <v>280</v>
      </c>
    </row>
    <row r="22" spans="1:9" ht="43.2" x14ac:dyDescent="0.3">
      <c r="B22" s="75" t="s">
        <v>281</v>
      </c>
      <c r="C22" s="75" t="s">
        <v>49</v>
      </c>
      <c r="D22" s="75" t="s">
        <v>224</v>
      </c>
      <c r="E22" s="76" t="s">
        <v>231</v>
      </c>
      <c r="F22" s="76" t="s">
        <v>231</v>
      </c>
      <c r="G22" s="76" t="s">
        <v>282</v>
      </c>
      <c r="H22" s="76" t="s">
        <v>231</v>
      </c>
      <c r="I22" s="76" t="s">
        <v>283</v>
      </c>
    </row>
    <row r="23" spans="1:9" ht="57.6" x14ac:dyDescent="0.3">
      <c r="B23" s="75" t="s">
        <v>284</v>
      </c>
      <c r="C23" s="75" t="s">
        <v>50</v>
      </c>
      <c r="D23" s="75" t="s">
        <v>224</v>
      </c>
      <c r="E23" s="76" t="s">
        <v>243</v>
      </c>
      <c r="F23" s="76" t="s">
        <v>231</v>
      </c>
      <c r="G23" s="76" t="s">
        <v>285</v>
      </c>
      <c r="H23" s="76" t="s">
        <v>231</v>
      </c>
      <c r="I23" s="76" t="s">
        <v>283</v>
      </c>
    </row>
    <row r="24" spans="1:9" ht="28.8" x14ac:dyDescent="0.3">
      <c r="B24" s="75" t="s">
        <v>286</v>
      </c>
      <c r="C24" s="75" t="s">
        <v>51</v>
      </c>
      <c r="D24" s="75" t="s">
        <v>224</v>
      </c>
      <c r="E24" s="76" t="s">
        <v>287</v>
      </c>
      <c r="F24" s="76" t="s">
        <v>231</v>
      </c>
      <c r="G24" s="76" t="s">
        <v>287</v>
      </c>
      <c r="H24" s="76" t="s">
        <v>287</v>
      </c>
      <c r="I24" s="76" t="s">
        <v>287</v>
      </c>
    </row>
    <row r="25" spans="1:9" x14ac:dyDescent="0.3">
      <c r="B25" s="83" t="s">
        <v>288</v>
      </c>
      <c r="C25" s="83" t="s">
        <v>52</v>
      </c>
      <c r="D25" s="75" t="s">
        <v>224</v>
      </c>
      <c r="E25" s="76" t="s">
        <v>231</v>
      </c>
      <c r="F25" s="76" t="s">
        <v>231</v>
      </c>
      <c r="G25" s="76" t="s">
        <v>231</v>
      </c>
      <c r="H25" s="76" t="s">
        <v>231</v>
      </c>
      <c r="I25" s="76" t="s">
        <v>231</v>
      </c>
    </row>
    <row r="26" spans="1:9" ht="57.6" x14ac:dyDescent="0.3">
      <c r="B26" s="75" t="s">
        <v>289</v>
      </c>
      <c r="C26" s="75" t="s">
        <v>55</v>
      </c>
      <c r="D26" s="75" t="s">
        <v>224</v>
      </c>
      <c r="E26" s="76" t="s">
        <v>290</v>
      </c>
      <c r="F26" s="76" t="s">
        <v>231</v>
      </c>
      <c r="G26" s="76" t="s">
        <v>291</v>
      </c>
      <c r="H26" s="76" t="s">
        <v>292</v>
      </c>
      <c r="I26" s="76" t="s">
        <v>280</v>
      </c>
    </row>
    <row r="27" spans="1:9" ht="91.2" customHeight="1" x14ac:dyDescent="0.3">
      <c r="B27" s="75" t="s">
        <v>293</v>
      </c>
      <c r="C27" s="75" t="s">
        <v>56</v>
      </c>
      <c r="D27" s="75" t="s">
        <v>224</v>
      </c>
      <c r="E27" s="76" t="s">
        <v>231</v>
      </c>
      <c r="F27" s="76" t="s">
        <v>231</v>
      </c>
      <c r="G27" s="76" t="s">
        <v>294</v>
      </c>
      <c r="H27" s="76" t="s">
        <v>231</v>
      </c>
      <c r="I27" s="76" t="s">
        <v>295</v>
      </c>
    </row>
    <row r="28" spans="1:9" ht="57.6" x14ac:dyDescent="0.3">
      <c r="B28" s="75" t="s">
        <v>296</v>
      </c>
      <c r="C28" s="75" t="s">
        <v>59</v>
      </c>
      <c r="D28" s="75" t="s">
        <v>224</v>
      </c>
      <c r="E28" s="76" t="s">
        <v>231</v>
      </c>
      <c r="F28" s="76" t="s">
        <v>231</v>
      </c>
      <c r="G28" s="76" t="s">
        <v>297</v>
      </c>
      <c r="H28" s="76" t="s">
        <v>231</v>
      </c>
      <c r="I28" s="76" t="s">
        <v>298</v>
      </c>
    </row>
    <row r="29" spans="1:9" ht="28.95" customHeight="1" x14ac:dyDescent="0.3">
      <c r="B29" s="75" t="s">
        <v>299</v>
      </c>
      <c r="C29" s="75" t="s">
        <v>60</v>
      </c>
      <c r="D29" s="75" t="s">
        <v>224</v>
      </c>
      <c r="E29" s="76" t="s">
        <v>231</v>
      </c>
      <c r="F29" s="76" t="s">
        <v>231</v>
      </c>
      <c r="G29" s="76" t="s">
        <v>231</v>
      </c>
      <c r="H29" s="76" t="s">
        <v>231</v>
      </c>
      <c r="I29" s="76" t="s">
        <v>231</v>
      </c>
    </row>
    <row r="30" spans="1:9" x14ac:dyDescent="0.3">
      <c r="B30" s="75" t="s">
        <v>300</v>
      </c>
      <c r="C30" s="75" t="s">
        <v>61</v>
      </c>
      <c r="D30" s="75" t="s">
        <v>224</v>
      </c>
      <c r="E30" s="76" t="s">
        <v>231</v>
      </c>
      <c r="F30" s="76" t="s">
        <v>231</v>
      </c>
      <c r="G30" s="76" t="s">
        <v>231</v>
      </c>
      <c r="H30" s="76" t="s">
        <v>231</v>
      </c>
      <c r="I30" s="76" t="s">
        <v>231</v>
      </c>
    </row>
    <row r="31" spans="1:9" x14ac:dyDescent="0.3">
      <c r="B31" s="75" t="s">
        <v>301</v>
      </c>
      <c r="C31" s="75" t="s">
        <v>62</v>
      </c>
      <c r="D31" s="75" t="s">
        <v>224</v>
      </c>
      <c r="E31" s="76" t="s">
        <v>231</v>
      </c>
      <c r="F31" s="76" t="s">
        <v>302</v>
      </c>
      <c r="G31" s="76" t="s">
        <v>231</v>
      </c>
      <c r="H31" s="76" t="s">
        <v>231</v>
      </c>
      <c r="I31" s="76" t="s">
        <v>231</v>
      </c>
    </row>
    <row r="32" spans="1:9" x14ac:dyDescent="0.3">
      <c r="B32" s="75" t="s">
        <v>303</v>
      </c>
      <c r="C32" s="75" t="s">
        <v>63</v>
      </c>
      <c r="D32" s="75" t="s">
        <v>224</v>
      </c>
      <c r="E32" s="76" t="s">
        <v>304</v>
      </c>
      <c r="F32" s="76" t="s">
        <v>231</v>
      </c>
      <c r="G32" s="76" t="s">
        <v>305</v>
      </c>
      <c r="H32" s="76" t="s">
        <v>231</v>
      </c>
      <c r="I32" s="76" t="s">
        <v>231</v>
      </c>
    </row>
    <row r="33" spans="2:9" x14ac:dyDescent="0.3">
      <c r="B33" s="75" t="s">
        <v>306</v>
      </c>
      <c r="C33" s="75" t="s">
        <v>65</v>
      </c>
      <c r="D33" s="75" t="s">
        <v>224</v>
      </c>
      <c r="E33" s="76" t="s">
        <v>307</v>
      </c>
      <c r="F33" s="76" t="s">
        <v>231</v>
      </c>
      <c r="G33" s="76" t="s">
        <v>231</v>
      </c>
      <c r="H33" s="76" t="s">
        <v>231</v>
      </c>
      <c r="I33" s="76" t="s">
        <v>231</v>
      </c>
    </row>
    <row r="34" spans="2:9" x14ac:dyDescent="0.3">
      <c r="B34" s="75" t="s">
        <v>308</v>
      </c>
      <c r="C34" s="75" t="s">
        <v>67</v>
      </c>
      <c r="D34" s="75" t="s">
        <v>224</v>
      </c>
      <c r="E34" s="76" t="s">
        <v>66</v>
      </c>
      <c r="F34" s="76" t="s">
        <v>231</v>
      </c>
      <c r="G34" s="76" t="s">
        <v>231</v>
      </c>
      <c r="H34" s="76" t="s">
        <v>231</v>
      </c>
      <c r="I34" s="76" t="s">
        <v>231</v>
      </c>
    </row>
    <row r="35" spans="2:9" ht="28.8" x14ac:dyDescent="0.3">
      <c r="B35" s="75" t="s">
        <v>309</v>
      </c>
      <c r="C35" s="75" t="s">
        <v>310</v>
      </c>
      <c r="D35" s="75" t="s">
        <v>224</v>
      </c>
      <c r="E35" s="76" t="s">
        <v>231</v>
      </c>
      <c r="F35" s="76" t="s">
        <v>231</v>
      </c>
      <c r="G35" s="76" t="s">
        <v>311</v>
      </c>
      <c r="H35" s="76" t="s">
        <v>231</v>
      </c>
      <c r="I35" s="76" t="s">
        <v>312</v>
      </c>
    </row>
    <row r="36" spans="2:9" x14ac:dyDescent="0.3">
      <c r="B36" s="75" t="s">
        <v>313</v>
      </c>
      <c r="C36" s="75" t="s">
        <v>69</v>
      </c>
      <c r="D36" s="75" t="s">
        <v>224</v>
      </c>
      <c r="E36" s="76" t="s">
        <v>225</v>
      </c>
      <c r="F36" s="76" t="s">
        <v>314</v>
      </c>
      <c r="G36" s="76" t="s">
        <v>314</v>
      </c>
      <c r="H36" s="76" t="s">
        <v>315</v>
      </c>
      <c r="I36" s="76" t="s">
        <v>316</v>
      </c>
    </row>
    <row r="37" spans="2:9" ht="57.6" x14ac:dyDescent="0.3">
      <c r="B37" s="75" t="s">
        <v>317</v>
      </c>
      <c r="C37" s="75" t="s">
        <v>318</v>
      </c>
      <c r="D37" s="75" t="s">
        <v>224</v>
      </c>
      <c r="E37" s="76" t="s">
        <v>231</v>
      </c>
      <c r="F37" s="76" t="s">
        <v>231</v>
      </c>
      <c r="G37" s="76" t="s">
        <v>319</v>
      </c>
      <c r="H37" s="76" t="s">
        <v>231</v>
      </c>
      <c r="I37" s="76" t="s">
        <v>320</v>
      </c>
    </row>
    <row r="38" spans="2:9" ht="28.8" x14ac:dyDescent="0.3">
      <c r="B38" s="75" t="s">
        <v>321</v>
      </c>
      <c r="C38" s="75" t="s">
        <v>322</v>
      </c>
      <c r="D38" s="75" t="s">
        <v>224</v>
      </c>
      <c r="E38" s="76" t="s">
        <v>231</v>
      </c>
      <c r="F38" s="76" t="s">
        <v>231</v>
      </c>
      <c r="G38" s="76" t="s">
        <v>231</v>
      </c>
      <c r="H38" s="76" t="s">
        <v>231</v>
      </c>
      <c r="I38" s="76" t="s">
        <v>231</v>
      </c>
    </row>
    <row r="39" spans="2:9" x14ac:dyDescent="0.3">
      <c r="B39" s="75" t="s">
        <v>323</v>
      </c>
      <c r="C39" s="75" t="s">
        <v>79</v>
      </c>
      <c r="D39" s="75" t="s">
        <v>224</v>
      </c>
      <c r="E39" s="76" t="s">
        <v>231</v>
      </c>
      <c r="F39" s="76" t="s">
        <v>231</v>
      </c>
      <c r="G39" s="76" t="s">
        <v>231</v>
      </c>
      <c r="H39" s="76" t="s">
        <v>231</v>
      </c>
      <c r="I39" s="76" t="s">
        <v>231</v>
      </c>
    </row>
    <row r="40" spans="2:9" ht="72" x14ac:dyDescent="0.3">
      <c r="B40" s="75" t="s">
        <v>324</v>
      </c>
      <c r="C40" s="75" t="s">
        <v>80</v>
      </c>
      <c r="D40" s="75" t="s">
        <v>224</v>
      </c>
      <c r="E40" s="76" t="s">
        <v>231</v>
      </c>
      <c r="F40" s="76" t="s">
        <v>231</v>
      </c>
      <c r="G40" s="76" t="s">
        <v>325</v>
      </c>
      <c r="H40" s="76" t="s">
        <v>326</v>
      </c>
      <c r="I40" s="76" t="s">
        <v>327</v>
      </c>
    </row>
    <row r="41" spans="2:9" ht="86.4" x14ac:dyDescent="0.3">
      <c r="B41" s="75" t="s">
        <v>328</v>
      </c>
      <c r="C41" s="75" t="s">
        <v>81</v>
      </c>
      <c r="D41" s="75" t="s">
        <v>224</v>
      </c>
      <c r="E41" s="76" t="s">
        <v>231</v>
      </c>
      <c r="F41" s="76" t="s">
        <v>231</v>
      </c>
      <c r="G41" s="76" t="s">
        <v>329</v>
      </c>
      <c r="H41" s="76" t="s">
        <v>231</v>
      </c>
      <c r="I41" s="76" t="s">
        <v>330</v>
      </c>
    </row>
    <row r="42" spans="2:9" ht="23.25" customHeight="1" x14ac:dyDescent="0.3">
      <c r="B42" s="75" t="s">
        <v>331</v>
      </c>
      <c r="C42" s="75" t="s">
        <v>332</v>
      </c>
      <c r="D42" s="75" t="s">
        <v>224</v>
      </c>
      <c r="E42" s="76" t="s">
        <v>231</v>
      </c>
      <c r="F42" s="76" t="s">
        <v>231</v>
      </c>
      <c r="G42" s="76" t="s">
        <v>333</v>
      </c>
      <c r="H42" s="76" t="s">
        <v>231</v>
      </c>
      <c r="I42" s="76" t="s">
        <v>231</v>
      </c>
    </row>
    <row r="43" spans="2:9" x14ac:dyDescent="0.3">
      <c r="B43" s="75" t="s">
        <v>334</v>
      </c>
      <c r="C43" s="75" t="s">
        <v>83</v>
      </c>
      <c r="D43" s="75" t="s">
        <v>224</v>
      </c>
      <c r="E43" s="76" t="s">
        <v>231</v>
      </c>
      <c r="F43" s="76" t="s">
        <v>231</v>
      </c>
      <c r="G43" s="76" t="s">
        <v>231</v>
      </c>
      <c r="H43" s="76" t="s">
        <v>231</v>
      </c>
      <c r="I43" s="76" t="s">
        <v>231</v>
      </c>
    </row>
    <row r="44" spans="2:9" ht="57.6" x14ac:dyDescent="0.3">
      <c r="B44" s="12" t="s">
        <v>335</v>
      </c>
      <c r="C44" s="12"/>
      <c r="D44" s="13"/>
      <c r="E44" s="79" t="s">
        <v>336</v>
      </c>
      <c r="F44" s="79" t="s">
        <v>337</v>
      </c>
      <c r="G44" s="79"/>
      <c r="H44" s="79"/>
      <c r="I44" s="79"/>
    </row>
    <row r="45" spans="2:9" ht="28.8" x14ac:dyDescent="0.3">
      <c r="B45" s="75" t="s">
        <v>338</v>
      </c>
      <c r="C45" s="75" t="s">
        <v>87</v>
      </c>
      <c r="D45" s="75" t="s">
        <v>224</v>
      </c>
      <c r="E45" s="76" t="s">
        <v>231</v>
      </c>
      <c r="F45" s="76" t="s">
        <v>231</v>
      </c>
      <c r="G45" s="76" t="s">
        <v>231</v>
      </c>
      <c r="H45" s="76" t="s">
        <v>258</v>
      </c>
      <c r="I45" s="76" t="s">
        <v>231</v>
      </c>
    </row>
    <row r="46" spans="2:9" ht="43.2" x14ac:dyDescent="0.3">
      <c r="B46" s="75" t="s">
        <v>339</v>
      </c>
      <c r="C46" s="75" t="s">
        <v>340</v>
      </c>
      <c r="D46" s="75" t="s">
        <v>224</v>
      </c>
      <c r="E46" s="76" t="s">
        <v>231</v>
      </c>
      <c r="F46" s="76" t="s">
        <v>231</v>
      </c>
      <c r="G46" s="76" t="s">
        <v>341</v>
      </c>
      <c r="H46" s="76" t="s">
        <v>342</v>
      </c>
      <c r="I46" s="76" t="s">
        <v>343</v>
      </c>
    </row>
    <row r="47" spans="2:9" ht="72" x14ac:dyDescent="0.3">
      <c r="B47" s="75" t="s">
        <v>344</v>
      </c>
      <c r="C47" s="75" t="s">
        <v>29</v>
      </c>
      <c r="D47" s="75" t="s">
        <v>224</v>
      </c>
      <c r="E47" s="76" t="s">
        <v>231</v>
      </c>
      <c r="F47" s="76" t="s">
        <v>231</v>
      </c>
      <c r="G47" s="76" t="s">
        <v>345</v>
      </c>
      <c r="H47" s="76" t="s">
        <v>346</v>
      </c>
      <c r="I47" s="76" t="s">
        <v>231</v>
      </c>
    </row>
    <row r="48" spans="2:9" ht="28.8" x14ac:dyDescent="0.3">
      <c r="B48" s="75" t="s">
        <v>347</v>
      </c>
      <c r="C48" s="75" t="s">
        <v>92</v>
      </c>
      <c r="D48" s="75" t="s">
        <v>224</v>
      </c>
      <c r="E48" s="76" t="s">
        <v>231</v>
      </c>
      <c r="F48" s="76" t="s">
        <v>231</v>
      </c>
      <c r="G48" s="76" t="s">
        <v>348</v>
      </c>
      <c r="H48" s="76" t="s">
        <v>349</v>
      </c>
      <c r="I48" s="76" t="s">
        <v>350</v>
      </c>
    </row>
    <row r="49" spans="2:9" ht="86.4" x14ac:dyDescent="0.3">
      <c r="B49" s="75" t="s">
        <v>351</v>
      </c>
      <c r="C49" s="75" t="s">
        <v>93</v>
      </c>
      <c r="D49" s="75" t="s">
        <v>224</v>
      </c>
      <c r="E49" s="76" t="s">
        <v>231</v>
      </c>
      <c r="F49" s="76" t="s">
        <v>231</v>
      </c>
      <c r="G49" s="76" t="s">
        <v>352</v>
      </c>
      <c r="H49" s="76" t="s">
        <v>353</v>
      </c>
      <c r="I49" s="76" t="s">
        <v>354</v>
      </c>
    </row>
    <row r="50" spans="2:9" ht="57.6" x14ac:dyDescent="0.3">
      <c r="B50" s="75" t="s">
        <v>355</v>
      </c>
      <c r="C50" s="75" t="s">
        <v>95</v>
      </c>
      <c r="D50" s="75" t="s">
        <v>224</v>
      </c>
      <c r="E50" s="76" t="s">
        <v>356</v>
      </c>
      <c r="F50" s="76" t="s">
        <v>231</v>
      </c>
      <c r="G50" s="76" t="s">
        <v>357</v>
      </c>
      <c r="H50" s="76" t="s">
        <v>358</v>
      </c>
      <c r="I50" s="76" t="s">
        <v>231</v>
      </c>
    </row>
    <row r="51" spans="2:9" ht="57.6" x14ac:dyDescent="0.3">
      <c r="B51" s="75" t="s">
        <v>359</v>
      </c>
      <c r="C51" s="75" t="s">
        <v>94</v>
      </c>
      <c r="D51" s="75" t="s">
        <v>224</v>
      </c>
      <c r="E51" s="76" t="s">
        <v>231</v>
      </c>
      <c r="F51" s="76" t="s">
        <v>231</v>
      </c>
      <c r="G51" s="76" t="s">
        <v>360</v>
      </c>
      <c r="H51" s="76" t="s">
        <v>231</v>
      </c>
      <c r="I51" s="76" t="s">
        <v>231</v>
      </c>
    </row>
    <row r="52" spans="2:9" x14ac:dyDescent="0.3">
      <c r="B52" s="75" t="s">
        <v>361</v>
      </c>
      <c r="C52" s="75" t="s">
        <v>96</v>
      </c>
      <c r="D52" s="75" t="s">
        <v>224</v>
      </c>
      <c r="E52" s="76" t="s">
        <v>231</v>
      </c>
      <c r="F52" s="76" t="s">
        <v>231</v>
      </c>
      <c r="G52" s="76" t="s">
        <v>231</v>
      </c>
      <c r="H52" s="76" t="s">
        <v>231</v>
      </c>
      <c r="I52" s="76" t="s">
        <v>231</v>
      </c>
    </row>
    <row r="53" spans="2:9" ht="26.4" x14ac:dyDescent="0.3">
      <c r="B53" s="87" t="s">
        <v>362</v>
      </c>
      <c r="C53" s="87" t="s">
        <v>98</v>
      </c>
      <c r="D53" s="75" t="s">
        <v>224</v>
      </c>
      <c r="E53" s="76" t="s">
        <v>231</v>
      </c>
      <c r="F53" s="76" t="s">
        <v>231</v>
      </c>
      <c r="G53" s="76" t="s">
        <v>231</v>
      </c>
      <c r="H53" s="76" t="s">
        <v>231</v>
      </c>
      <c r="I53" s="76" t="s">
        <v>231</v>
      </c>
    </row>
    <row r="54" spans="2:9" x14ac:dyDescent="0.3">
      <c r="B54" s="87" t="s">
        <v>363</v>
      </c>
      <c r="C54" s="87" t="s">
        <v>99</v>
      </c>
      <c r="D54" s="75" t="s">
        <v>224</v>
      </c>
      <c r="E54" s="76" t="s">
        <v>231</v>
      </c>
      <c r="F54" s="76" t="s">
        <v>231</v>
      </c>
      <c r="G54" s="76" t="s">
        <v>231</v>
      </c>
      <c r="H54" s="76" t="s">
        <v>231</v>
      </c>
      <c r="I54" s="76" t="s">
        <v>231</v>
      </c>
    </row>
    <row r="55" spans="2:9" x14ac:dyDescent="0.3">
      <c r="B55" s="87" t="s">
        <v>364</v>
      </c>
      <c r="C55" s="87" t="s">
        <v>100</v>
      </c>
      <c r="D55" s="75" t="s">
        <v>224</v>
      </c>
      <c r="E55" s="76" t="s">
        <v>231</v>
      </c>
      <c r="F55" s="76" t="s">
        <v>231</v>
      </c>
      <c r="G55" s="76" t="s">
        <v>231</v>
      </c>
      <c r="H55" s="76" t="s">
        <v>231</v>
      </c>
      <c r="I55" s="76" t="s">
        <v>231</v>
      </c>
    </row>
    <row r="56" spans="2:9" x14ac:dyDescent="0.3">
      <c r="B56" s="87" t="s">
        <v>365</v>
      </c>
      <c r="C56" s="87" t="s">
        <v>101</v>
      </c>
      <c r="D56" s="75" t="s">
        <v>224</v>
      </c>
      <c r="E56" s="76" t="s">
        <v>231</v>
      </c>
      <c r="F56" s="76" t="s">
        <v>231</v>
      </c>
      <c r="G56" s="76" t="s">
        <v>231</v>
      </c>
      <c r="H56" s="76" t="s">
        <v>231</v>
      </c>
      <c r="I56" s="76" t="s">
        <v>231</v>
      </c>
    </row>
    <row r="57" spans="2:9" x14ac:dyDescent="0.3">
      <c r="B57" s="75" t="s">
        <v>366</v>
      </c>
      <c r="C57" s="75" t="s">
        <v>102</v>
      </c>
      <c r="D57" s="75" t="s">
        <v>224</v>
      </c>
      <c r="E57" s="76" t="s">
        <v>231</v>
      </c>
      <c r="F57" s="76" t="s">
        <v>231</v>
      </c>
      <c r="G57" s="76" t="s">
        <v>231</v>
      </c>
      <c r="H57" s="76" t="s">
        <v>231</v>
      </c>
      <c r="I57" s="76" t="s">
        <v>231</v>
      </c>
    </row>
    <row r="58" spans="2:9" ht="198.75" customHeight="1" x14ac:dyDescent="0.3">
      <c r="B58" s="12" t="s">
        <v>367</v>
      </c>
      <c r="C58" s="12"/>
      <c r="D58" s="13"/>
      <c r="E58" s="79" t="s">
        <v>708</v>
      </c>
      <c r="F58" s="79" t="s">
        <v>337</v>
      </c>
      <c r="G58" s="79"/>
      <c r="H58" s="79"/>
      <c r="I58" s="79"/>
    </row>
    <row r="59" spans="2:9" ht="71.55" customHeight="1" x14ac:dyDescent="0.3">
      <c r="B59" s="75" t="s">
        <v>368</v>
      </c>
      <c r="C59" s="75" t="s">
        <v>87</v>
      </c>
      <c r="D59" s="75" t="s">
        <v>224</v>
      </c>
      <c r="E59" s="76" t="s">
        <v>231</v>
      </c>
      <c r="F59" s="76" t="s">
        <v>231</v>
      </c>
      <c r="G59" s="76" t="s">
        <v>369</v>
      </c>
      <c r="H59" s="76" t="s">
        <v>370</v>
      </c>
      <c r="I59" s="76" t="s">
        <v>371</v>
      </c>
    </row>
    <row r="60" spans="2:9" ht="28.8" x14ac:dyDescent="0.3">
      <c r="B60" s="75" t="s">
        <v>372</v>
      </c>
      <c r="C60" s="75" t="s">
        <v>29</v>
      </c>
      <c r="D60" s="75" t="s">
        <v>224</v>
      </c>
      <c r="E60" s="76" t="s">
        <v>231</v>
      </c>
      <c r="F60" s="76" t="s">
        <v>231</v>
      </c>
      <c r="G60" s="76" t="s">
        <v>373</v>
      </c>
      <c r="H60" s="76" t="s">
        <v>231</v>
      </c>
      <c r="I60" s="76" t="s">
        <v>231</v>
      </c>
    </row>
    <row r="61" spans="2:9" x14ac:dyDescent="0.3">
      <c r="B61" s="75" t="s">
        <v>374</v>
      </c>
      <c r="C61" s="75" t="s">
        <v>107</v>
      </c>
      <c r="D61" s="75" t="s">
        <v>224</v>
      </c>
      <c r="E61" s="76" t="s">
        <v>231</v>
      </c>
      <c r="F61" s="76" t="s">
        <v>231</v>
      </c>
      <c r="G61" s="76" t="s">
        <v>375</v>
      </c>
      <c r="H61" s="76" t="s">
        <v>231</v>
      </c>
      <c r="I61" s="76" t="s">
        <v>231</v>
      </c>
    </row>
    <row r="62" spans="2:9" ht="28.8" x14ac:dyDescent="0.3">
      <c r="B62" s="75" t="s">
        <v>376</v>
      </c>
      <c r="C62" s="75" t="s">
        <v>92</v>
      </c>
      <c r="D62" s="75" t="s">
        <v>224</v>
      </c>
      <c r="E62" s="76" t="s">
        <v>231</v>
      </c>
      <c r="F62" s="76" t="s">
        <v>231</v>
      </c>
      <c r="G62" s="76" t="s">
        <v>377</v>
      </c>
      <c r="H62" s="76" t="s">
        <v>231</v>
      </c>
      <c r="I62" s="76" t="s">
        <v>378</v>
      </c>
    </row>
    <row r="63" spans="2:9" ht="28.8" x14ac:dyDescent="0.3">
      <c r="B63" s="75" t="s">
        <v>379</v>
      </c>
      <c r="C63" s="75" t="s">
        <v>108</v>
      </c>
      <c r="D63" s="75" t="s">
        <v>224</v>
      </c>
      <c r="E63" s="76" t="s">
        <v>231</v>
      </c>
      <c r="F63" s="76" t="s">
        <v>231</v>
      </c>
      <c r="G63" s="76" t="s">
        <v>380</v>
      </c>
      <c r="H63" s="76" t="s">
        <v>231</v>
      </c>
      <c r="I63" s="76" t="s">
        <v>381</v>
      </c>
    </row>
    <row r="64" spans="2:9" ht="100.8" x14ac:dyDescent="0.3">
      <c r="B64" s="75" t="s">
        <v>382</v>
      </c>
      <c r="C64" s="75" t="s">
        <v>109</v>
      </c>
      <c r="D64" s="75" t="s">
        <v>224</v>
      </c>
      <c r="E64" s="76" t="s">
        <v>383</v>
      </c>
      <c r="F64" s="76" t="s">
        <v>231</v>
      </c>
      <c r="G64" s="76" t="s">
        <v>384</v>
      </c>
      <c r="H64" s="76" t="s">
        <v>385</v>
      </c>
      <c r="I64" s="76" t="s">
        <v>386</v>
      </c>
    </row>
    <row r="65" spans="2:9" ht="62.25" customHeight="1" x14ac:dyDescent="0.3">
      <c r="B65" s="75" t="s">
        <v>387</v>
      </c>
      <c r="C65" s="75" t="s">
        <v>110</v>
      </c>
      <c r="D65" s="75" t="s">
        <v>224</v>
      </c>
      <c r="E65" s="76" t="s">
        <v>356</v>
      </c>
      <c r="F65" s="76" t="s">
        <v>231</v>
      </c>
      <c r="G65" s="76" t="s">
        <v>388</v>
      </c>
      <c r="H65" s="76" t="s">
        <v>231</v>
      </c>
      <c r="I65" s="76" t="s">
        <v>389</v>
      </c>
    </row>
    <row r="66" spans="2:9" ht="23.25" customHeight="1" x14ac:dyDescent="0.3">
      <c r="B66" s="12" t="s">
        <v>390</v>
      </c>
      <c r="C66" s="12"/>
      <c r="D66" s="13"/>
      <c r="E66" s="13"/>
      <c r="F66" s="79" t="s">
        <v>391</v>
      </c>
      <c r="G66" s="79"/>
      <c r="H66" s="79"/>
      <c r="I66" s="79"/>
    </row>
    <row r="67" spans="2:9" ht="100.8" x14ac:dyDescent="0.3">
      <c r="B67" s="73" t="s">
        <v>392</v>
      </c>
      <c r="C67" s="73"/>
      <c r="D67" s="84"/>
      <c r="E67" s="90" t="s">
        <v>393</v>
      </c>
      <c r="F67" s="86"/>
      <c r="G67" s="86" t="s">
        <v>394</v>
      </c>
      <c r="H67" s="86" t="s">
        <v>395</v>
      </c>
      <c r="I67" s="86" t="s">
        <v>396</v>
      </c>
    </row>
    <row r="68" spans="2:9" ht="78" customHeight="1" x14ac:dyDescent="0.3">
      <c r="B68" s="75" t="s">
        <v>397</v>
      </c>
      <c r="C68" s="75" t="s">
        <v>112</v>
      </c>
      <c r="D68" s="75" t="s">
        <v>224</v>
      </c>
      <c r="E68" s="76" t="s">
        <v>231</v>
      </c>
      <c r="F68" s="76" t="s">
        <v>398</v>
      </c>
      <c r="G68" s="76" t="s">
        <v>399</v>
      </c>
      <c r="H68" s="76" t="s">
        <v>400</v>
      </c>
      <c r="I68" s="76" t="s">
        <v>401</v>
      </c>
    </row>
    <row r="69" spans="2:9" ht="43.2" x14ac:dyDescent="0.3">
      <c r="B69" s="75" t="s">
        <v>402</v>
      </c>
      <c r="C69" s="75" t="s">
        <v>115</v>
      </c>
      <c r="D69" s="75" t="s">
        <v>224</v>
      </c>
      <c r="E69" s="76" t="s">
        <v>403</v>
      </c>
      <c r="F69" s="76" t="s">
        <v>231</v>
      </c>
      <c r="G69" s="76" t="s">
        <v>231</v>
      </c>
      <c r="H69" s="76" t="s">
        <v>231</v>
      </c>
      <c r="I69" s="76" t="s">
        <v>231</v>
      </c>
    </row>
    <row r="70" spans="2:9" x14ac:dyDescent="0.3">
      <c r="B70" s="81" t="s">
        <v>404</v>
      </c>
      <c r="C70" s="81" t="s">
        <v>405</v>
      </c>
      <c r="D70" s="81" t="s">
        <v>224</v>
      </c>
      <c r="E70" s="82" t="s">
        <v>406</v>
      </c>
      <c r="F70" s="82" t="s">
        <v>407</v>
      </c>
      <c r="G70" s="82" t="s">
        <v>407</v>
      </c>
      <c r="H70" s="82" t="s">
        <v>407</v>
      </c>
      <c r="I70" s="82" t="s">
        <v>407</v>
      </c>
    </row>
    <row r="71" spans="2:9" x14ac:dyDescent="0.3">
      <c r="B71" s="81" t="s">
        <v>408</v>
      </c>
      <c r="C71" s="81" t="s">
        <v>409</v>
      </c>
      <c r="D71" s="81" t="s">
        <v>224</v>
      </c>
      <c r="E71" s="82" t="s">
        <v>406</v>
      </c>
      <c r="F71" s="82" t="s">
        <v>407</v>
      </c>
      <c r="G71" s="82" t="s">
        <v>407</v>
      </c>
      <c r="H71" s="82" t="s">
        <v>407</v>
      </c>
      <c r="I71" s="82" t="s">
        <v>407</v>
      </c>
    </row>
    <row r="72" spans="2:9" x14ac:dyDescent="0.3">
      <c r="B72" s="81" t="s">
        <v>410</v>
      </c>
      <c r="C72" s="81" t="s">
        <v>411</v>
      </c>
      <c r="D72" s="81" t="s">
        <v>224</v>
      </c>
      <c r="E72" s="82" t="s">
        <v>406</v>
      </c>
      <c r="F72" s="82" t="s">
        <v>407</v>
      </c>
      <c r="G72" s="82" t="s">
        <v>407</v>
      </c>
      <c r="H72" s="82" t="s">
        <v>407</v>
      </c>
      <c r="I72" s="82" t="s">
        <v>407</v>
      </c>
    </row>
    <row r="73" spans="2:9" x14ac:dyDescent="0.3">
      <c r="B73" s="75" t="s">
        <v>404</v>
      </c>
      <c r="C73" s="75" t="s">
        <v>116</v>
      </c>
      <c r="D73" s="75" t="s">
        <v>224</v>
      </c>
      <c r="E73" s="76" t="s">
        <v>412</v>
      </c>
      <c r="F73" s="76" t="s">
        <v>231</v>
      </c>
      <c r="G73" s="76" t="s">
        <v>231</v>
      </c>
      <c r="H73" s="76" t="s">
        <v>231</v>
      </c>
      <c r="I73" s="77" t="s">
        <v>231</v>
      </c>
    </row>
    <row r="74" spans="2:9" ht="20.55" customHeight="1" x14ac:dyDescent="0.3">
      <c r="B74" s="73" t="s">
        <v>118</v>
      </c>
      <c r="C74" s="73"/>
      <c r="D74" s="84"/>
      <c r="E74" s="84"/>
      <c r="F74" s="85"/>
      <c r="G74" s="86"/>
      <c r="H74" s="86"/>
      <c r="I74" s="86"/>
    </row>
    <row r="75" spans="2:9" ht="49.5" customHeight="1" x14ac:dyDescent="0.3">
      <c r="B75" s="75" t="s">
        <v>413</v>
      </c>
      <c r="C75" s="75" t="s">
        <v>118</v>
      </c>
      <c r="D75" s="75" t="s">
        <v>224</v>
      </c>
      <c r="E75" s="76" t="s">
        <v>414</v>
      </c>
      <c r="F75" s="76" t="s">
        <v>231</v>
      </c>
      <c r="G75" s="76" t="s">
        <v>415</v>
      </c>
      <c r="H75" s="76" t="s">
        <v>231</v>
      </c>
      <c r="I75" s="76" t="s">
        <v>231</v>
      </c>
    </row>
    <row r="76" spans="2:9" ht="18.45" customHeight="1" x14ac:dyDescent="0.3">
      <c r="B76" s="73" t="s">
        <v>121</v>
      </c>
      <c r="C76" s="73"/>
      <c r="D76" s="84"/>
      <c r="E76" s="84"/>
      <c r="F76" s="85"/>
      <c r="G76" s="86"/>
      <c r="H76" s="86"/>
      <c r="I76" s="86"/>
    </row>
    <row r="77" spans="2:9" ht="82.5" customHeight="1" x14ac:dyDescent="0.3">
      <c r="B77" s="75" t="s">
        <v>416</v>
      </c>
      <c r="C77" s="75" t="s">
        <v>121</v>
      </c>
      <c r="D77" s="75" t="s">
        <v>224</v>
      </c>
      <c r="E77" s="76" t="s">
        <v>417</v>
      </c>
      <c r="F77" s="76" t="s">
        <v>231</v>
      </c>
      <c r="G77" s="76" t="s">
        <v>231</v>
      </c>
      <c r="H77" s="76" t="s">
        <v>231</v>
      </c>
      <c r="I77" s="76" t="s">
        <v>231</v>
      </c>
    </row>
    <row r="78" spans="2:9" ht="28.8" x14ac:dyDescent="0.3">
      <c r="B78" s="12" t="s">
        <v>418</v>
      </c>
      <c r="C78" s="12"/>
      <c r="D78" s="13"/>
      <c r="E78" s="13"/>
      <c r="F78" s="79" t="s">
        <v>337</v>
      </c>
      <c r="G78" s="79"/>
      <c r="H78" s="79"/>
      <c r="I78" s="79"/>
    </row>
    <row r="79" spans="2:9" ht="140.55000000000001" customHeight="1" x14ac:dyDescent="0.3">
      <c r="B79" s="73" t="s">
        <v>419</v>
      </c>
      <c r="C79" s="73"/>
      <c r="D79" s="84"/>
      <c r="E79" s="86" t="s">
        <v>420</v>
      </c>
      <c r="F79" s="86" t="s">
        <v>421</v>
      </c>
      <c r="G79" s="86" t="s">
        <v>422</v>
      </c>
      <c r="H79" s="86"/>
      <c r="I79" s="86"/>
    </row>
    <row r="80" spans="2:9" ht="137.25" customHeight="1" x14ac:dyDescent="0.3">
      <c r="B80" s="75" t="s">
        <v>423</v>
      </c>
      <c r="C80" s="75" t="s">
        <v>424</v>
      </c>
      <c r="D80" s="75" t="s">
        <v>224</v>
      </c>
      <c r="E80" s="76" t="s">
        <v>425</v>
      </c>
      <c r="F80" s="76" t="s">
        <v>426</v>
      </c>
      <c r="G80" s="76" t="s">
        <v>427</v>
      </c>
      <c r="H80" s="76" t="s">
        <v>428</v>
      </c>
      <c r="I80" s="76" t="s">
        <v>429</v>
      </c>
    </row>
    <row r="81" spans="2:9" ht="28.8" x14ac:dyDescent="0.3">
      <c r="B81" s="75" t="s">
        <v>430</v>
      </c>
      <c r="C81" s="75" t="s">
        <v>128</v>
      </c>
      <c r="D81" s="75" t="s">
        <v>224</v>
      </c>
      <c r="E81" s="76" t="s">
        <v>431</v>
      </c>
      <c r="F81" s="76" t="s">
        <v>231</v>
      </c>
      <c r="G81" s="76" t="s">
        <v>231</v>
      </c>
      <c r="H81" s="76" t="s">
        <v>231</v>
      </c>
      <c r="I81" s="76" t="s">
        <v>354</v>
      </c>
    </row>
    <row r="82" spans="2:9" ht="24.75" customHeight="1" x14ac:dyDescent="0.3">
      <c r="B82" s="75" t="s">
        <v>432</v>
      </c>
      <c r="C82" s="75" t="s">
        <v>129</v>
      </c>
      <c r="D82" s="75" t="s">
        <v>224</v>
      </c>
      <c r="E82" s="76" t="s">
        <v>433</v>
      </c>
      <c r="F82" s="76" t="s">
        <v>231</v>
      </c>
      <c r="G82" s="76" t="s">
        <v>231</v>
      </c>
      <c r="H82" s="76" t="s">
        <v>231</v>
      </c>
      <c r="I82" s="76" t="s">
        <v>231</v>
      </c>
    </row>
    <row r="83" spans="2:9" ht="43.2" x14ac:dyDescent="0.3">
      <c r="B83" s="75" t="s">
        <v>434</v>
      </c>
      <c r="C83" s="75" t="s">
        <v>134</v>
      </c>
      <c r="D83" s="75" t="s">
        <v>224</v>
      </c>
      <c r="E83" s="76" t="s">
        <v>709</v>
      </c>
      <c r="F83" s="76" t="s">
        <v>231</v>
      </c>
      <c r="G83" s="76" t="s">
        <v>435</v>
      </c>
      <c r="H83" s="76" t="s">
        <v>231</v>
      </c>
      <c r="I83" s="76" t="s">
        <v>231</v>
      </c>
    </row>
    <row r="84" spans="2:9" ht="18.45" customHeight="1" x14ac:dyDescent="0.3">
      <c r="B84" s="73" t="s">
        <v>138</v>
      </c>
      <c r="C84" s="73"/>
      <c r="D84" s="84"/>
      <c r="E84" s="84"/>
      <c r="F84" s="85"/>
      <c r="G84" s="86"/>
      <c r="H84" s="86"/>
      <c r="I84" s="86"/>
    </row>
    <row r="85" spans="2:9" ht="72" x14ac:dyDescent="0.3">
      <c r="B85" s="75" t="s">
        <v>436</v>
      </c>
      <c r="C85" s="75" t="s">
        <v>138</v>
      </c>
      <c r="D85" s="75" t="s">
        <v>224</v>
      </c>
      <c r="E85" s="76" t="s">
        <v>243</v>
      </c>
      <c r="F85" s="76" t="s">
        <v>437</v>
      </c>
      <c r="G85" s="76" t="s">
        <v>438</v>
      </c>
      <c r="H85" s="76" t="s">
        <v>439</v>
      </c>
      <c r="I85" s="76" t="s">
        <v>231</v>
      </c>
    </row>
    <row r="86" spans="2:9" ht="18.45" customHeight="1" x14ac:dyDescent="0.3">
      <c r="B86" s="73" t="s">
        <v>136</v>
      </c>
      <c r="C86" s="73"/>
      <c r="D86" s="84"/>
      <c r="E86" s="84"/>
      <c r="F86" s="85"/>
      <c r="G86" s="86"/>
      <c r="H86" s="86"/>
      <c r="I86" s="86"/>
    </row>
    <row r="87" spans="2:9" ht="57.45" customHeight="1" x14ac:dyDescent="0.3">
      <c r="B87" s="81" t="s">
        <v>440</v>
      </c>
      <c r="C87" s="92" t="s">
        <v>441</v>
      </c>
      <c r="D87" s="75" t="s">
        <v>224</v>
      </c>
      <c r="E87" s="76" t="s">
        <v>442</v>
      </c>
      <c r="F87" s="76" t="s">
        <v>231</v>
      </c>
      <c r="G87" s="76" t="s">
        <v>443</v>
      </c>
      <c r="H87" s="76" t="s">
        <v>231</v>
      </c>
      <c r="I87" s="76" t="s">
        <v>231</v>
      </c>
    </row>
    <row r="88" spans="2:9" ht="28.8" x14ac:dyDescent="0.3">
      <c r="B88" s="12" t="s">
        <v>444</v>
      </c>
      <c r="C88" s="12"/>
      <c r="D88" s="13"/>
      <c r="E88" s="13"/>
      <c r="F88" s="79" t="s">
        <v>337</v>
      </c>
      <c r="G88" s="79"/>
      <c r="H88" s="79"/>
      <c r="I88" s="79"/>
    </row>
    <row r="89" spans="2:9" ht="26.4" x14ac:dyDescent="0.3">
      <c r="B89" s="73" t="s">
        <v>445</v>
      </c>
      <c r="C89" s="73"/>
      <c r="D89" s="84"/>
      <c r="E89" s="84"/>
      <c r="F89" s="85"/>
      <c r="G89" s="86"/>
      <c r="H89" s="86"/>
      <c r="I89" s="86"/>
    </row>
    <row r="90" spans="2:9" ht="57.6" x14ac:dyDescent="0.3">
      <c r="B90" s="75" t="s">
        <v>446</v>
      </c>
      <c r="C90" s="75" t="s">
        <v>447</v>
      </c>
      <c r="D90" s="75" t="s">
        <v>224</v>
      </c>
      <c r="E90" s="76" t="s">
        <v>718</v>
      </c>
      <c r="F90" s="76" t="s">
        <v>231</v>
      </c>
      <c r="G90" s="76" t="s">
        <v>231</v>
      </c>
      <c r="H90" s="76" t="s">
        <v>231</v>
      </c>
      <c r="I90" s="76" t="s">
        <v>231</v>
      </c>
    </row>
    <row r="91" spans="2:9" ht="23.55" customHeight="1" x14ac:dyDescent="0.3">
      <c r="B91" s="73" t="s">
        <v>448</v>
      </c>
      <c r="C91" s="73"/>
      <c r="D91" s="84"/>
      <c r="E91" s="84"/>
      <c r="F91" s="85"/>
      <c r="G91" s="86"/>
      <c r="H91" s="86"/>
      <c r="I91" s="86"/>
    </row>
    <row r="92" spans="2:9" x14ac:dyDescent="0.3">
      <c r="B92" s="75" t="s">
        <v>449</v>
      </c>
      <c r="C92" s="75" t="s">
        <v>448</v>
      </c>
      <c r="D92" s="75" t="s">
        <v>224</v>
      </c>
      <c r="E92" s="89" t="s">
        <v>450</v>
      </c>
      <c r="F92" s="89"/>
      <c r="G92" s="89"/>
      <c r="H92" s="89"/>
      <c r="I92" s="89"/>
    </row>
    <row r="93" spans="2:9" ht="26.4" x14ac:dyDescent="0.3">
      <c r="B93" s="73" t="s">
        <v>451</v>
      </c>
      <c r="C93" s="73"/>
      <c r="D93" s="84"/>
      <c r="E93" s="84"/>
      <c r="F93" s="85"/>
      <c r="G93" s="86"/>
      <c r="H93" s="86"/>
      <c r="I93" s="86"/>
    </row>
    <row r="94" spans="2:9" ht="72" x14ac:dyDescent="0.3">
      <c r="B94" s="75" t="s">
        <v>452</v>
      </c>
      <c r="C94" s="75" t="s">
        <v>453</v>
      </c>
      <c r="D94" s="75" t="s">
        <v>454</v>
      </c>
      <c r="E94" s="76" t="s">
        <v>710</v>
      </c>
      <c r="F94" s="76" t="s">
        <v>231</v>
      </c>
      <c r="G94" s="76" t="s">
        <v>455</v>
      </c>
      <c r="H94" s="76" t="s">
        <v>231</v>
      </c>
      <c r="I94" s="76" t="s">
        <v>456</v>
      </c>
    </row>
    <row r="95" spans="2:9" ht="21.45" customHeight="1" x14ac:dyDescent="0.3">
      <c r="B95" s="73" t="s">
        <v>457</v>
      </c>
      <c r="C95" s="73"/>
      <c r="D95" s="84"/>
      <c r="E95" s="84"/>
      <c r="F95" s="85"/>
      <c r="G95" s="86"/>
      <c r="H95" s="86"/>
      <c r="I95" s="86"/>
    </row>
    <row r="96" spans="2:9" ht="77.25" customHeight="1" x14ac:dyDescent="0.3">
      <c r="B96" s="75" t="s">
        <v>458</v>
      </c>
      <c r="C96" s="75" t="s">
        <v>459</v>
      </c>
      <c r="D96" s="75" t="s">
        <v>460</v>
      </c>
      <c r="E96" s="76" t="s">
        <v>711</v>
      </c>
      <c r="F96" s="76" t="s">
        <v>231</v>
      </c>
      <c r="G96" s="76" t="s">
        <v>231</v>
      </c>
      <c r="H96" s="76" t="s">
        <v>231</v>
      </c>
      <c r="I96" s="76" t="s">
        <v>231</v>
      </c>
    </row>
    <row r="97" spans="2:9" ht="28.8" x14ac:dyDescent="0.3">
      <c r="B97" s="12" t="s">
        <v>461</v>
      </c>
      <c r="C97" s="12"/>
      <c r="D97" s="13"/>
      <c r="E97" s="13"/>
      <c r="F97" s="79" t="s">
        <v>337</v>
      </c>
      <c r="G97" s="79"/>
      <c r="H97" s="79"/>
      <c r="I97" s="79"/>
    </row>
    <row r="98" spans="2:9" ht="129.6" x14ac:dyDescent="0.3">
      <c r="B98" s="73" t="s">
        <v>462</v>
      </c>
      <c r="C98" s="73"/>
      <c r="D98" s="84"/>
      <c r="E98" s="86" t="s">
        <v>712</v>
      </c>
      <c r="F98" s="85"/>
      <c r="G98" s="86" t="s">
        <v>463</v>
      </c>
      <c r="H98" s="86" t="s">
        <v>464</v>
      </c>
      <c r="I98" s="86" t="s">
        <v>465</v>
      </c>
    </row>
    <row r="99" spans="2:9" ht="43.2" x14ac:dyDescent="0.3">
      <c r="B99" s="75" t="s">
        <v>466</v>
      </c>
      <c r="C99" s="75" t="s">
        <v>87</v>
      </c>
      <c r="D99" s="75" t="s">
        <v>224</v>
      </c>
      <c r="E99" s="76" t="s">
        <v>231</v>
      </c>
      <c r="F99" s="76" t="s">
        <v>231</v>
      </c>
      <c r="G99" s="76" t="s">
        <v>467</v>
      </c>
      <c r="H99" s="76" t="s">
        <v>468</v>
      </c>
      <c r="I99" s="76" t="s">
        <v>231</v>
      </c>
    </row>
    <row r="100" spans="2:9" ht="43.2" x14ac:dyDescent="0.3">
      <c r="B100" s="75" t="s">
        <v>469</v>
      </c>
      <c r="C100" s="75" t="s">
        <v>165</v>
      </c>
      <c r="D100" s="75" t="s">
        <v>224</v>
      </c>
      <c r="E100" s="76" t="s">
        <v>231</v>
      </c>
      <c r="F100" s="76" t="s">
        <v>231</v>
      </c>
      <c r="G100" s="76" t="s">
        <v>470</v>
      </c>
      <c r="H100" s="76" t="s">
        <v>471</v>
      </c>
      <c r="I100" s="76" t="s">
        <v>231</v>
      </c>
    </row>
    <row r="101" spans="2:9" x14ac:dyDescent="0.3">
      <c r="B101" s="75" t="s">
        <v>472</v>
      </c>
      <c r="C101" s="75" t="s">
        <v>166</v>
      </c>
      <c r="D101" s="75" t="s">
        <v>224</v>
      </c>
      <c r="E101" s="76" t="s">
        <v>231</v>
      </c>
      <c r="F101" s="76" t="s">
        <v>231</v>
      </c>
      <c r="G101" s="76" t="s">
        <v>231</v>
      </c>
      <c r="H101" s="76" t="s">
        <v>231</v>
      </c>
      <c r="I101" s="76" t="s">
        <v>231</v>
      </c>
    </row>
    <row r="102" spans="2:9" x14ac:dyDescent="0.3">
      <c r="B102" s="75" t="s">
        <v>473</v>
      </c>
      <c r="C102" s="75" t="s">
        <v>103</v>
      </c>
      <c r="D102" s="75" t="s">
        <v>224</v>
      </c>
      <c r="E102" s="76" t="s">
        <v>231</v>
      </c>
      <c r="F102" s="76" t="s">
        <v>231</v>
      </c>
      <c r="G102" s="76" t="s">
        <v>231</v>
      </c>
      <c r="H102" s="76" t="s">
        <v>231</v>
      </c>
      <c r="I102" s="76" t="s">
        <v>231</v>
      </c>
    </row>
    <row r="103" spans="2:9" ht="31.2" customHeight="1" x14ac:dyDescent="0.3">
      <c r="B103" s="73" t="s">
        <v>474</v>
      </c>
      <c r="C103" s="73"/>
      <c r="D103" s="84"/>
      <c r="E103" s="84"/>
      <c r="F103" s="85"/>
      <c r="G103" s="86"/>
      <c r="H103" s="86"/>
      <c r="I103" s="86"/>
    </row>
    <row r="104" spans="2:9" ht="51.75" customHeight="1" x14ac:dyDescent="0.3">
      <c r="B104" s="81" t="s">
        <v>475</v>
      </c>
      <c r="C104" s="81" t="s">
        <v>476</v>
      </c>
      <c r="D104" s="81" t="s">
        <v>477</v>
      </c>
      <c r="E104" s="76" t="s">
        <v>713</v>
      </c>
      <c r="F104" s="76" t="s">
        <v>231</v>
      </c>
      <c r="G104" s="76" t="s">
        <v>231</v>
      </c>
      <c r="H104" s="76" t="s">
        <v>231</v>
      </c>
      <c r="I104" s="76" t="s">
        <v>231</v>
      </c>
    </row>
    <row r="105" spans="2:9" ht="31.2" customHeight="1" x14ac:dyDescent="0.3">
      <c r="B105" s="73" t="s">
        <v>478</v>
      </c>
      <c r="C105" s="73"/>
      <c r="D105" s="84"/>
      <c r="E105" s="84"/>
      <c r="F105" s="85"/>
      <c r="G105" s="86"/>
      <c r="H105" s="86"/>
      <c r="I105" s="86"/>
    </row>
    <row r="106" spans="2:9" ht="31.2" customHeight="1" x14ac:dyDescent="0.3">
      <c r="B106" s="81" t="s">
        <v>479</v>
      </c>
      <c r="C106" s="81" t="s">
        <v>478</v>
      </c>
      <c r="D106" s="81" t="s">
        <v>477</v>
      </c>
      <c r="E106" s="76" t="s">
        <v>480</v>
      </c>
      <c r="F106" s="76" t="s">
        <v>481</v>
      </c>
      <c r="G106" s="76" t="s">
        <v>482</v>
      </c>
      <c r="H106" s="76" t="s">
        <v>483</v>
      </c>
      <c r="I106" s="76" t="s">
        <v>484</v>
      </c>
    </row>
    <row r="107" spans="2:9" ht="18" customHeight="1" x14ac:dyDescent="0.3">
      <c r="B107" s="73" t="s">
        <v>485</v>
      </c>
      <c r="C107" s="73"/>
      <c r="D107" s="84"/>
      <c r="E107" s="84"/>
      <c r="F107" s="85"/>
      <c r="G107" s="86"/>
      <c r="H107" s="86"/>
      <c r="I107" s="86"/>
    </row>
    <row r="108" spans="2:9" ht="79.5" customHeight="1" x14ac:dyDescent="0.3">
      <c r="B108" s="81" t="s">
        <v>486</v>
      </c>
      <c r="C108" s="75" t="s">
        <v>175</v>
      </c>
      <c r="D108" s="75" t="s">
        <v>487</v>
      </c>
      <c r="E108" s="76" t="s">
        <v>717</v>
      </c>
      <c r="F108" s="76" t="s">
        <v>231</v>
      </c>
      <c r="G108" s="76" t="s">
        <v>231</v>
      </c>
      <c r="H108" s="76" t="s">
        <v>231</v>
      </c>
      <c r="I108" s="76" t="s">
        <v>488</v>
      </c>
    </row>
    <row r="109" spans="2:9" ht="72" x14ac:dyDescent="0.3">
      <c r="B109" s="12" t="s">
        <v>489</v>
      </c>
      <c r="C109" s="12"/>
      <c r="D109" s="13"/>
      <c r="E109" s="79" t="s">
        <v>714</v>
      </c>
      <c r="F109" s="79" t="s">
        <v>337</v>
      </c>
      <c r="G109" s="79"/>
      <c r="H109" s="79" t="s">
        <v>490</v>
      </c>
      <c r="I109" s="79"/>
    </row>
    <row r="110" spans="2:9" ht="100.8" x14ac:dyDescent="0.3">
      <c r="B110" s="75" t="s">
        <v>491</v>
      </c>
      <c r="C110" s="75" t="s">
        <v>492</v>
      </c>
      <c r="D110" s="75" t="s">
        <v>224</v>
      </c>
      <c r="E110" s="76" t="s">
        <v>231</v>
      </c>
      <c r="F110" s="76" t="s">
        <v>231</v>
      </c>
      <c r="G110" s="76" t="s">
        <v>493</v>
      </c>
      <c r="H110" s="76" t="s">
        <v>231</v>
      </c>
      <c r="I110" s="76" t="s">
        <v>494</v>
      </c>
    </row>
    <row r="111" spans="2:9" ht="148.5" customHeight="1" x14ac:dyDescent="0.3">
      <c r="B111" s="75" t="s">
        <v>495</v>
      </c>
      <c r="C111" s="75" t="s">
        <v>496</v>
      </c>
      <c r="D111" s="75" t="s">
        <v>224</v>
      </c>
      <c r="E111" s="76" t="s">
        <v>231</v>
      </c>
      <c r="F111" s="76" t="s">
        <v>231</v>
      </c>
      <c r="G111" s="76" t="s">
        <v>497</v>
      </c>
      <c r="H111" s="76" t="s">
        <v>231</v>
      </c>
      <c r="I111" s="76" t="s">
        <v>498</v>
      </c>
    </row>
    <row r="112" spans="2:9" ht="72" x14ac:dyDescent="0.3">
      <c r="B112" s="75" t="s">
        <v>499</v>
      </c>
      <c r="C112" s="75" t="s">
        <v>500</v>
      </c>
      <c r="D112" s="75" t="s">
        <v>224</v>
      </c>
      <c r="E112" s="76" t="s">
        <v>231</v>
      </c>
      <c r="F112" s="76" t="s">
        <v>231</v>
      </c>
      <c r="G112" s="76" t="s">
        <v>501</v>
      </c>
      <c r="H112" s="76" t="s">
        <v>231</v>
      </c>
      <c r="I112" s="76" t="s">
        <v>502</v>
      </c>
    </row>
    <row r="113" spans="2:9" ht="86.4" x14ac:dyDescent="0.3">
      <c r="B113" s="75" t="s">
        <v>503</v>
      </c>
      <c r="C113" s="75" t="s">
        <v>504</v>
      </c>
      <c r="D113" s="75" t="s">
        <v>224</v>
      </c>
      <c r="E113" s="76" t="s">
        <v>231</v>
      </c>
      <c r="F113" s="76" t="s">
        <v>231</v>
      </c>
      <c r="G113" s="76" t="s">
        <v>505</v>
      </c>
      <c r="H113" s="76" t="s">
        <v>231</v>
      </c>
      <c r="I113" s="76" t="s">
        <v>506</v>
      </c>
    </row>
    <row r="114" spans="2:9" ht="43.2" x14ac:dyDescent="0.3">
      <c r="B114" s="75" t="s">
        <v>507</v>
      </c>
      <c r="C114" s="75" t="s">
        <v>29</v>
      </c>
      <c r="D114" s="75" t="s">
        <v>224</v>
      </c>
      <c r="E114" s="76" t="s">
        <v>231</v>
      </c>
      <c r="F114" s="76" t="s">
        <v>231</v>
      </c>
      <c r="G114" s="76" t="s">
        <v>508</v>
      </c>
      <c r="H114" s="76" t="s">
        <v>231</v>
      </c>
      <c r="I114" s="76" t="s">
        <v>509</v>
      </c>
    </row>
    <row r="115" spans="2:9" ht="43.2" x14ac:dyDescent="0.3">
      <c r="B115" s="75" t="s">
        <v>510</v>
      </c>
      <c r="C115" s="75" t="s">
        <v>511</v>
      </c>
      <c r="D115" s="75" t="s">
        <v>224</v>
      </c>
      <c r="E115" s="76" t="s">
        <v>512</v>
      </c>
      <c r="F115" s="76" t="s">
        <v>231</v>
      </c>
      <c r="G115" s="76" t="s">
        <v>513</v>
      </c>
      <c r="H115" s="76" t="s">
        <v>231</v>
      </c>
      <c r="I115" s="76" t="s">
        <v>514</v>
      </c>
    </row>
    <row r="116" spans="2:9" ht="19.95" customHeight="1" x14ac:dyDescent="0.3">
      <c r="B116" s="75" t="s">
        <v>515</v>
      </c>
      <c r="C116" s="75" t="s">
        <v>516</v>
      </c>
      <c r="D116" s="75" t="s">
        <v>224</v>
      </c>
      <c r="E116" s="76" t="s">
        <v>231</v>
      </c>
      <c r="F116" s="76" t="s">
        <v>231</v>
      </c>
      <c r="G116" s="76" t="s">
        <v>231</v>
      </c>
      <c r="H116" s="76" t="s">
        <v>231</v>
      </c>
      <c r="I116" s="76" t="s">
        <v>231</v>
      </c>
    </row>
    <row r="117" spans="2:9" ht="107.25" customHeight="1" x14ac:dyDescent="0.3">
      <c r="B117" s="12" t="s">
        <v>517</v>
      </c>
      <c r="C117" s="12"/>
      <c r="D117" s="13"/>
      <c r="E117" s="79" t="s">
        <v>715</v>
      </c>
      <c r="F117" s="79" t="s">
        <v>518</v>
      </c>
      <c r="G117" s="79" t="s">
        <v>519</v>
      </c>
      <c r="H117" s="79" t="s">
        <v>520</v>
      </c>
      <c r="I117" s="79"/>
    </row>
    <row r="118" spans="2:9" ht="43.2" x14ac:dyDescent="0.3">
      <c r="B118" s="75" t="s">
        <v>521</v>
      </c>
      <c r="C118" s="75" t="s">
        <v>188</v>
      </c>
      <c r="D118" s="75" t="s">
        <v>522</v>
      </c>
      <c r="E118" s="76" t="s">
        <v>231</v>
      </c>
      <c r="F118" s="76" t="s">
        <v>231</v>
      </c>
      <c r="G118" s="76" t="s">
        <v>523</v>
      </c>
      <c r="H118" s="77" t="s">
        <v>231</v>
      </c>
      <c r="I118" s="76" t="s">
        <v>524</v>
      </c>
    </row>
    <row r="119" spans="2:9" ht="100.8" x14ac:dyDescent="0.3">
      <c r="B119" s="75" t="s">
        <v>525</v>
      </c>
      <c r="C119" s="75" t="s">
        <v>191</v>
      </c>
      <c r="D119" s="75" t="s">
        <v>522</v>
      </c>
      <c r="E119" s="76" t="s">
        <v>231</v>
      </c>
      <c r="F119" s="76" t="s">
        <v>231</v>
      </c>
      <c r="G119" s="76" t="s">
        <v>526</v>
      </c>
      <c r="H119" s="76" t="s">
        <v>527</v>
      </c>
      <c r="I119" s="76" t="s">
        <v>528</v>
      </c>
    </row>
    <row r="120" spans="2:9" ht="57.6" x14ac:dyDescent="0.3">
      <c r="B120" s="75" t="s">
        <v>529</v>
      </c>
      <c r="C120" s="75" t="s">
        <v>192</v>
      </c>
      <c r="D120" s="75" t="s">
        <v>522</v>
      </c>
      <c r="E120" s="76" t="s">
        <v>231</v>
      </c>
      <c r="F120" s="76" t="s">
        <v>231</v>
      </c>
      <c r="G120" s="76" t="s">
        <v>530</v>
      </c>
      <c r="H120" s="76" t="s">
        <v>231</v>
      </c>
      <c r="I120" s="76" t="s">
        <v>531</v>
      </c>
    </row>
    <row r="121" spans="2:9" ht="75.45" customHeight="1" x14ac:dyDescent="0.3">
      <c r="B121" s="81" t="s">
        <v>532</v>
      </c>
      <c r="C121" s="81" t="s">
        <v>533</v>
      </c>
      <c r="D121" s="81" t="s">
        <v>522</v>
      </c>
      <c r="E121" s="76" t="s">
        <v>231</v>
      </c>
      <c r="F121" s="76" t="s">
        <v>231</v>
      </c>
      <c r="G121" s="76" t="s">
        <v>534</v>
      </c>
      <c r="H121" s="76" t="s">
        <v>535</v>
      </c>
      <c r="I121" s="76" t="s">
        <v>536</v>
      </c>
    </row>
    <row r="122" spans="2:9" ht="144" x14ac:dyDescent="0.3">
      <c r="B122" s="81" t="s">
        <v>537</v>
      </c>
      <c r="C122" s="81" t="s">
        <v>194</v>
      </c>
      <c r="D122" s="81" t="s">
        <v>522</v>
      </c>
      <c r="E122" s="76" t="s">
        <v>231</v>
      </c>
      <c r="F122" s="76" t="s">
        <v>231</v>
      </c>
      <c r="G122" s="76" t="s">
        <v>538</v>
      </c>
      <c r="H122" s="76" t="s">
        <v>539</v>
      </c>
      <c r="I122" s="76" t="s">
        <v>540</v>
      </c>
    </row>
    <row r="123" spans="2:9" ht="100.8" x14ac:dyDescent="0.3">
      <c r="B123" s="75" t="s">
        <v>541</v>
      </c>
      <c r="C123" s="75" t="s">
        <v>195</v>
      </c>
      <c r="D123" s="75" t="s">
        <v>522</v>
      </c>
      <c r="E123" s="76" t="s">
        <v>231</v>
      </c>
      <c r="F123" s="76" t="s">
        <v>231</v>
      </c>
      <c r="G123" s="76" t="s">
        <v>542</v>
      </c>
      <c r="H123" s="76" t="s">
        <v>539</v>
      </c>
      <c r="I123" s="76" t="s">
        <v>543</v>
      </c>
    </row>
    <row r="124" spans="2:9" ht="21.45" customHeight="1" x14ac:dyDescent="0.3">
      <c r="B124" s="75" t="s">
        <v>544</v>
      </c>
      <c r="C124" s="75" t="s">
        <v>196</v>
      </c>
      <c r="D124" s="75" t="s">
        <v>522</v>
      </c>
      <c r="E124" s="76" t="s">
        <v>231</v>
      </c>
      <c r="F124" s="76" t="s">
        <v>231</v>
      </c>
      <c r="G124" s="76" t="s">
        <v>231</v>
      </c>
      <c r="H124" s="76" t="s">
        <v>231</v>
      </c>
      <c r="I124" s="76" t="s">
        <v>231</v>
      </c>
    </row>
    <row r="125" spans="2:9" ht="137.25" customHeight="1" x14ac:dyDescent="0.3">
      <c r="B125" s="81" t="s">
        <v>545</v>
      </c>
      <c r="C125" s="81" t="s">
        <v>546</v>
      </c>
      <c r="D125" s="75" t="s">
        <v>522</v>
      </c>
      <c r="E125" s="76" t="s">
        <v>547</v>
      </c>
      <c r="F125" s="76" t="s">
        <v>231</v>
      </c>
      <c r="G125" s="76" t="s">
        <v>548</v>
      </c>
      <c r="H125" s="76" t="s">
        <v>231</v>
      </c>
      <c r="I125" s="76" t="s">
        <v>549</v>
      </c>
    </row>
    <row r="126" spans="2:9" ht="132" customHeight="1" x14ac:dyDescent="0.3">
      <c r="B126" s="81" t="s">
        <v>550</v>
      </c>
      <c r="C126" s="81" t="s">
        <v>551</v>
      </c>
      <c r="D126" s="75" t="s">
        <v>522</v>
      </c>
      <c r="E126" s="76" t="s">
        <v>716</v>
      </c>
      <c r="F126" s="76" t="s">
        <v>231</v>
      </c>
      <c r="G126" s="76" t="s">
        <v>552</v>
      </c>
      <c r="H126" s="76" t="s">
        <v>553</v>
      </c>
      <c r="I126" s="76" t="s">
        <v>554</v>
      </c>
    </row>
    <row r="127" spans="2:9" ht="20.55" customHeight="1" x14ac:dyDescent="0.3">
      <c r="B127" s="12" t="s">
        <v>555</v>
      </c>
      <c r="C127" s="12"/>
      <c r="D127" s="13"/>
      <c r="E127" s="13"/>
      <c r="F127" s="78"/>
      <c r="G127" s="79"/>
      <c r="H127" s="79"/>
      <c r="I127" s="79"/>
    </row>
    <row r="128" spans="2:9" ht="38.549999999999997" customHeight="1" x14ac:dyDescent="0.3">
      <c r="B128" s="81" t="s">
        <v>556</v>
      </c>
      <c r="C128" s="81" t="s">
        <v>557</v>
      </c>
      <c r="D128" s="75" t="s">
        <v>555</v>
      </c>
      <c r="E128" s="76" t="s">
        <v>558</v>
      </c>
      <c r="F128" s="76" t="s">
        <v>231</v>
      </c>
      <c r="G128" s="76" t="s">
        <v>231</v>
      </c>
      <c r="H128" s="76" t="s">
        <v>231</v>
      </c>
      <c r="I128" s="76" t="s">
        <v>231</v>
      </c>
    </row>
    <row r="129" spans="6:9" x14ac:dyDescent="0.3">
      <c r="F129" s="14"/>
      <c r="G129" s="14"/>
      <c r="H129" s="14"/>
      <c r="I129" s="14"/>
    </row>
  </sheetData>
  <phoneticPr fontId="21" type="noConversion"/>
  <dataValidations disablePrompts="1" count="2">
    <dataValidation type="list" allowBlank="1" showInputMessage="1" showErrorMessage="1" sqref="H129" xr:uid="{A2E8FF84-E187-47DB-8ABC-C2347BE8CF4B}">
      <formula1>ON</formula1>
    </dataValidation>
    <dataValidation type="list" allowBlank="1" showInputMessage="1" showErrorMessage="1" sqref="I129" xr:uid="{73625886-8735-4F53-B5AC-AA173D86E539}">
      <formula1>CAT_ERP</formula1>
    </dataValidation>
  </dataValidations>
  <pageMargins left="0.25" right="0.25" top="0.75" bottom="0.75" header="0.3" footer="0.3"/>
  <pageSetup paperSize="8" scale="45" fitToHeight="0" orientation="portrait" horizontalDpi="4294967293"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A0FF-23B8-41D4-B0C0-06EFEDA81106}">
  <dimension ref="B1:M35"/>
  <sheetViews>
    <sheetView showGridLines="0" zoomScale="90" zoomScaleNormal="90" workbookViewId="0">
      <selection activeCell="I20" sqref="I20"/>
    </sheetView>
  </sheetViews>
  <sheetFormatPr baseColWidth="10" defaultColWidth="11.44140625" defaultRowHeight="14.4" x14ac:dyDescent="0.3"/>
  <cols>
    <col min="1" max="1" width="4.77734375" customWidth="1"/>
    <col min="2" max="2" width="29.33203125" style="21" customWidth="1"/>
    <col min="3" max="10" width="17.109375" customWidth="1"/>
    <col min="11" max="11" width="14.77734375" customWidth="1"/>
    <col min="12" max="12" width="17.44140625" customWidth="1"/>
  </cols>
  <sheetData>
    <row r="1" spans="2:13" x14ac:dyDescent="0.3">
      <c r="B1" s="1" t="s">
        <v>0</v>
      </c>
    </row>
    <row r="3" spans="2:13" x14ac:dyDescent="0.3">
      <c r="B3" s="42" t="s">
        <v>559</v>
      </c>
      <c r="C3" s="6" t="s">
        <v>560</v>
      </c>
      <c r="D3" s="6" t="s">
        <v>561</v>
      </c>
      <c r="E3" s="6" t="s">
        <v>562</v>
      </c>
      <c r="F3" s="6" t="s">
        <v>563</v>
      </c>
      <c r="G3" s="6" t="s">
        <v>564</v>
      </c>
      <c r="H3" s="6" t="s">
        <v>565</v>
      </c>
      <c r="I3" s="6" t="s">
        <v>566</v>
      </c>
      <c r="J3" s="6" t="s">
        <v>567</v>
      </c>
      <c r="K3" s="6" t="s">
        <v>568</v>
      </c>
      <c r="L3" s="6" t="s">
        <v>569</v>
      </c>
    </row>
    <row r="4" spans="2:13" ht="26.4" x14ac:dyDescent="0.3">
      <c r="B4" s="52" t="s">
        <v>570</v>
      </c>
      <c r="C4" s="53">
        <f t="shared" ref="C4:H4" si="0">SUBTOTAL(9,C5:C11)</f>
        <v>0</v>
      </c>
      <c r="D4" s="53">
        <f t="shared" si="0"/>
        <v>0</v>
      </c>
      <c r="E4" s="53">
        <f t="shared" si="0"/>
        <v>0</v>
      </c>
      <c r="F4" s="53">
        <f t="shared" si="0"/>
        <v>0</v>
      </c>
      <c r="G4" s="53">
        <f t="shared" si="0"/>
        <v>0</v>
      </c>
      <c r="H4" s="53">
        <f t="shared" si="0"/>
        <v>0</v>
      </c>
      <c r="I4" s="53">
        <f t="shared" ref="I4:K4" si="1">SUBTOTAL(9,I5:I11)</f>
        <v>0</v>
      </c>
      <c r="J4" s="53">
        <f t="shared" si="1"/>
        <v>0</v>
      </c>
      <c r="K4" s="53">
        <f t="shared" si="1"/>
        <v>0</v>
      </c>
      <c r="L4" s="53">
        <f>IF(ISBLANK(Tableau2[[#This Row],[2016]]),"",AVERAGE(Tableau2[[#This Row],[2016]:[2021]]))</f>
        <v>0</v>
      </c>
    </row>
    <row r="5" spans="2:13" x14ac:dyDescent="0.3">
      <c r="B5" s="26" t="s">
        <v>571</v>
      </c>
      <c r="C5" s="43">
        <f t="shared" ref="C5:H5" si="2">SUBTOTAL(9,C6:C7)</f>
        <v>0</v>
      </c>
      <c r="D5" s="43">
        <f t="shared" si="2"/>
        <v>0</v>
      </c>
      <c r="E5" s="43">
        <f t="shared" si="2"/>
        <v>0</v>
      </c>
      <c r="F5" s="43">
        <f t="shared" si="2"/>
        <v>0</v>
      </c>
      <c r="G5" s="43">
        <f t="shared" si="2"/>
        <v>0</v>
      </c>
      <c r="H5" s="43">
        <f t="shared" si="2"/>
        <v>0</v>
      </c>
      <c r="I5" s="43">
        <f t="shared" ref="I5:K5" si="3">SUBTOTAL(9,I6:I7)</f>
        <v>0</v>
      </c>
      <c r="J5" s="43">
        <f t="shared" si="3"/>
        <v>0</v>
      </c>
      <c r="K5" s="43">
        <f t="shared" si="3"/>
        <v>0</v>
      </c>
      <c r="L5" s="43">
        <f>IF(ISBLANK(Tableau2[[#This Row],[2016]]),"",AVERAGE(Tableau2[[#This Row],[2016]:[2021]]))</f>
        <v>0</v>
      </c>
    </row>
    <row r="6" spans="2:13" x14ac:dyDescent="0.3">
      <c r="B6" s="54" t="s">
        <v>572</v>
      </c>
      <c r="C6" s="55"/>
      <c r="D6" s="55"/>
      <c r="E6" s="55"/>
      <c r="F6" s="55"/>
      <c r="G6" s="55"/>
      <c r="H6" s="55"/>
      <c r="I6" s="55"/>
      <c r="J6" s="55"/>
      <c r="K6" s="55"/>
      <c r="L6" s="55" t="str">
        <f>IF(ISBLANK(Tableau2[[#This Row],[2016]]),"",AVERAGE(Tableau2[[#This Row],[2016]:[2021]]))</f>
        <v/>
      </c>
      <c r="M6" s="45" t="s">
        <v>573</v>
      </c>
    </row>
    <row r="7" spans="2:13" x14ac:dyDescent="0.3">
      <c r="B7" s="44" t="s">
        <v>574</v>
      </c>
      <c r="L7" t="str">
        <f>IF(ISBLANK(Tableau2[[#This Row],[2016]]),"",AVERAGE(Tableau2[[#This Row],[2016]:[2021]]))</f>
        <v/>
      </c>
    </row>
    <row r="8" spans="2:13" x14ac:dyDescent="0.3">
      <c r="B8" s="56" t="s">
        <v>575</v>
      </c>
      <c r="C8" s="53">
        <f t="shared" ref="C8:H8" si="4">SUBTOTAL(9,C9:C11)</f>
        <v>0</v>
      </c>
      <c r="D8" s="53">
        <f t="shared" si="4"/>
        <v>0</v>
      </c>
      <c r="E8" s="53">
        <f t="shared" si="4"/>
        <v>0</v>
      </c>
      <c r="F8" s="53">
        <f t="shared" si="4"/>
        <v>0</v>
      </c>
      <c r="G8" s="53">
        <f t="shared" si="4"/>
        <v>0</v>
      </c>
      <c r="H8" s="53">
        <f t="shared" si="4"/>
        <v>0</v>
      </c>
      <c r="I8" s="53">
        <f t="shared" ref="I8:K8" si="5">SUBTOTAL(9,I9:I11)</f>
        <v>0</v>
      </c>
      <c r="J8" s="53">
        <f t="shared" si="5"/>
        <v>0</v>
      </c>
      <c r="K8" s="53">
        <f t="shared" si="5"/>
        <v>0</v>
      </c>
      <c r="L8" s="53">
        <f>IF(ISBLANK(Tableau2[[#This Row],[2016]]),"",AVERAGE(Tableau2[[#This Row],[2016]:[2021]]))</f>
        <v>0</v>
      </c>
    </row>
    <row r="9" spans="2:13" x14ac:dyDescent="0.3">
      <c r="B9" s="44" t="s">
        <v>576</v>
      </c>
      <c r="L9" t="str">
        <f>IF(ISBLANK(Tableau2[[#This Row],[2016]]),"",AVERAGE(Tableau2[[#This Row],[2016]:[2021]]))</f>
        <v/>
      </c>
    </row>
    <row r="10" spans="2:13" ht="26.4" x14ac:dyDescent="0.3">
      <c r="B10" s="54" t="s">
        <v>577</v>
      </c>
      <c r="C10" s="55"/>
      <c r="D10" s="55"/>
      <c r="E10" s="55"/>
      <c r="F10" s="55"/>
      <c r="G10" s="55"/>
      <c r="H10" s="55"/>
      <c r="I10" s="55"/>
      <c r="J10" s="55"/>
      <c r="K10" s="55"/>
      <c r="L10" s="55" t="str">
        <f>IF(ISBLANK(Tableau2[[#This Row],[2016]]),"",AVERAGE(Tableau2[[#This Row],[2016]:[2021]]))</f>
        <v/>
      </c>
    </row>
    <row r="11" spans="2:13" x14ac:dyDescent="0.3">
      <c r="B11" s="44" t="s">
        <v>578</v>
      </c>
      <c r="L11" t="str">
        <f>IF(ISBLANK(Tableau2[[#This Row],[2016]]),"",AVERAGE(Tableau2[[#This Row],[2016]:[2021]]))</f>
        <v/>
      </c>
    </row>
    <row r="12" spans="2:13" x14ac:dyDescent="0.3">
      <c r="C12" s="46"/>
      <c r="D12" s="17"/>
      <c r="E12" s="17"/>
      <c r="F12" s="17"/>
      <c r="G12" s="17"/>
      <c r="H12" s="17"/>
      <c r="I12" s="17"/>
    </row>
    <row r="13" spans="2:13" ht="15" thickBot="1" x14ac:dyDescent="0.35">
      <c r="B13" s="47" t="s">
        <v>559</v>
      </c>
      <c r="C13" s="48" t="s">
        <v>560</v>
      </c>
      <c r="D13" s="48" t="s">
        <v>561</v>
      </c>
      <c r="E13" s="48" t="s">
        <v>562</v>
      </c>
      <c r="F13" s="48" t="s">
        <v>563</v>
      </c>
      <c r="G13" s="48" t="s">
        <v>564</v>
      </c>
      <c r="H13" s="48" t="s">
        <v>565</v>
      </c>
      <c r="I13" s="47" t="s">
        <v>566</v>
      </c>
      <c r="J13" s="47" t="s">
        <v>567</v>
      </c>
      <c r="K13" s="47" t="s">
        <v>568</v>
      </c>
    </row>
    <row r="14" spans="2:13" x14ac:dyDescent="0.3">
      <c r="B14" s="57" t="s">
        <v>579</v>
      </c>
      <c r="C14" s="168">
        <f t="shared" ref="C14:K14" si="6">SUBTOTAL(9,C15:C35)</f>
        <v>4399.5785900000001</v>
      </c>
      <c r="D14" s="168">
        <f t="shared" si="6"/>
        <v>16273.130730000001</v>
      </c>
      <c r="E14" s="168">
        <f t="shared" si="6"/>
        <v>21391.332640000001</v>
      </c>
      <c r="F14" s="168">
        <f t="shared" si="6"/>
        <v>33776.05962</v>
      </c>
      <c r="G14" s="168">
        <f t="shared" si="6"/>
        <v>33196.017</v>
      </c>
      <c r="H14" s="168">
        <f t="shared" si="6"/>
        <v>27306.151000000002</v>
      </c>
      <c r="I14" s="168">
        <f t="shared" si="6"/>
        <v>31841</v>
      </c>
      <c r="J14" s="168">
        <f t="shared" si="6"/>
        <v>53922</v>
      </c>
      <c r="K14" s="168">
        <f t="shared" si="6"/>
        <v>25154</v>
      </c>
    </row>
    <row r="15" spans="2:13" x14ac:dyDescent="0.3">
      <c r="B15" s="49" t="s">
        <v>580</v>
      </c>
      <c r="C15" s="169">
        <f t="shared" ref="C15:K15" si="7">SUBTOTAL(9,C16:C24)</f>
        <v>0</v>
      </c>
      <c r="D15" s="169">
        <f t="shared" si="7"/>
        <v>7558.3499999999995</v>
      </c>
      <c r="E15" s="169">
        <f t="shared" si="7"/>
        <v>7823.6469999999999</v>
      </c>
      <c r="F15" s="169">
        <f t="shared" si="7"/>
        <v>7707.9940000000006</v>
      </c>
      <c r="G15" s="169">
        <f t="shared" si="7"/>
        <v>8149.0169999999998</v>
      </c>
      <c r="H15" s="169">
        <f t="shared" si="7"/>
        <v>9496.366</v>
      </c>
      <c r="I15" s="169">
        <f t="shared" si="7"/>
        <v>11290</v>
      </c>
      <c r="J15" s="169">
        <f t="shared" si="7"/>
        <v>16868</v>
      </c>
      <c r="K15" s="169">
        <f t="shared" si="7"/>
        <v>13236</v>
      </c>
    </row>
    <row r="16" spans="2:13" x14ac:dyDescent="0.3">
      <c r="B16" s="58" t="s">
        <v>581</v>
      </c>
      <c r="C16" s="168">
        <f t="shared" ref="C16:H16" si="8">SUBTOTAL(9,C17:C19)</f>
        <v>0</v>
      </c>
      <c r="D16" s="168">
        <f t="shared" si="8"/>
        <v>3853.8649999999998</v>
      </c>
      <c r="E16" s="168">
        <f t="shared" si="8"/>
        <v>3935.9949999999999</v>
      </c>
      <c r="F16" s="168">
        <f t="shared" si="8"/>
        <v>3899</v>
      </c>
      <c r="G16" s="168">
        <f t="shared" si="8"/>
        <v>3725</v>
      </c>
      <c r="H16" s="168">
        <f t="shared" si="8"/>
        <v>3756</v>
      </c>
      <c r="I16" s="168">
        <f t="shared" ref="I16:K16" si="9">SUBTOTAL(9,I17:I19)</f>
        <v>5643</v>
      </c>
      <c r="J16" s="168">
        <f t="shared" si="9"/>
        <v>9922</v>
      </c>
      <c r="K16" s="168">
        <f t="shared" si="9"/>
        <v>5983</v>
      </c>
    </row>
    <row r="17" spans="2:11" x14ac:dyDescent="0.3">
      <c r="B17" s="51" t="s">
        <v>582</v>
      </c>
      <c r="C17" s="170"/>
      <c r="D17" s="170">
        <v>2533.88</v>
      </c>
      <c r="E17" s="170">
        <v>2237.1089999999999</v>
      </c>
      <c r="F17" s="170">
        <v>2576</v>
      </c>
      <c r="G17" s="170">
        <v>2341</v>
      </c>
      <c r="H17" s="170">
        <v>2347</v>
      </c>
      <c r="I17" s="170">
        <v>3696</v>
      </c>
      <c r="J17" s="170">
        <v>6860</v>
      </c>
      <c r="K17" s="170">
        <v>3875</v>
      </c>
    </row>
    <row r="18" spans="2:11" x14ac:dyDescent="0.3">
      <c r="B18" s="59" t="s">
        <v>583</v>
      </c>
      <c r="C18" s="171"/>
      <c r="D18" s="171">
        <v>892.71600000000001</v>
      </c>
      <c r="E18" s="171">
        <v>1268.7249999999999</v>
      </c>
      <c r="F18" s="171">
        <v>924</v>
      </c>
      <c r="G18" s="171">
        <v>993</v>
      </c>
      <c r="H18" s="171">
        <v>1051</v>
      </c>
      <c r="I18" s="171">
        <v>1373</v>
      </c>
      <c r="J18" s="171">
        <v>2596</v>
      </c>
      <c r="K18" s="171">
        <v>1650</v>
      </c>
    </row>
    <row r="19" spans="2:11" x14ac:dyDescent="0.3">
      <c r="B19" s="51" t="s">
        <v>584</v>
      </c>
      <c r="C19" s="172"/>
      <c r="D19" s="172">
        <v>427.26900000000001</v>
      </c>
      <c r="E19" s="172">
        <v>430.161</v>
      </c>
      <c r="F19" s="172">
        <v>399</v>
      </c>
      <c r="G19" s="172">
        <v>391</v>
      </c>
      <c r="H19" s="172">
        <v>358</v>
      </c>
      <c r="I19" s="172">
        <v>574</v>
      </c>
      <c r="J19" s="172">
        <v>466</v>
      </c>
      <c r="K19" s="172">
        <v>458</v>
      </c>
    </row>
    <row r="20" spans="2:11" x14ac:dyDescent="0.3">
      <c r="B20" s="58" t="s">
        <v>585</v>
      </c>
      <c r="C20" s="173"/>
      <c r="D20" s="173">
        <v>845.82</v>
      </c>
      <c r="E20" s="173">
        <v>1030.694</v>
      </c>
      <c r="F20" s="173">
        <v>1162.1079999999999</v>
      </c>
      <c r="G20" s="173">
        <v>752</v>
      </c>
      <c r="H20" s="173">
        <v>1680</v>
      </c>
      <c r="I20" s="173">
        <v>2180</v>
      </c>
      <c r="J20" s="173">
        <v>3280</v>
      </c>
      <c r="K20" s="173">
        <v>3048</v>
      </c>
    </row>
    <row r="21" spans="2:11" x14ac:dyDescent="0.3">
      <c r="B21" s="50" t="s">
        <v>586</v>
      </c>
      <c r="C21" s="172"/>
      <c r="D21" s="172">
        <v>1882.53</v>
      </c>
      <c r="E21" s="172">
        <v>1967.723</v>
      </c>
      <c r="F21" s="172">
        <v>1773.473</v>
      </c>
      <c r="G21" s="172">
        <v>2394</v>
      </c>
      <c r="H21" s="172">
        <v>2684</v>
      </c>
      <c r="I21" s="172">
        <v>2152</v>
      </c>
      <c r="J21" s="172">
        <v>2222</v>
      </c>
      <c r="K21" s="172">
        <v>2668</v>
      </c>
    </row>
    <row r="22" spans="2:11" x14ac:dyDescent="0.3">
      <c r="B22" s="58" t="s">
        <v>587</v>
      </c>
      <c r="C22" s="173"/>
      <c r="D22" s="173">
        <v>625.13499999999999</v>
      </c>
      <c r="E22" s="173">
        <v>622.23500000000001</v>
      </c>
      <c r="F22" s="173">
        <v>579.41300000000001</v>
      </c>
      <c r="G22" s="173">
        <v>776.01700000000005</v>
      </c>
      <c r="H22" s="173">
        <v>807.36599999999999</v>
      </c>
      <c r="I22" s="173">
        <v>851</v>
      </c>
      <c r="J22" s="173">
        <v>979</v>
      </c>
      <c r="K22" s="173">
        <v>898</v>
      </c>
    </row>
    <row r="23" spans="2:11" x14ac:dyDescent="0.3">
      <c r="B23" s="50" t="s">
        <v>588</v>
      </c>
      <c r="C23" s="172"/>
      <c r="D23" s="172">
        <f>195+156</f>
        <v>351</v>
      </c>
      <c r="E23" s="172">
        <f>155+112</f>
        <v>267</v>
      </c>
      <c r="F23" s="172">
        <f>138+156</f>
        <v>294</v>
      </c>
      <c r="G23" s="172">
        <f>50+452</f>
        <v>502</v>
      </c>
      <c r="H23" s="172">
        <f>57+512</f>
        <v>569</v>
      </c>
      <c r="I23" s="172">
        <f>284+180</f>
        <v>464</v>
      </c>
      <c r="J23" s="172">
        <f>179+286</f>
        <v>465</v>
      </c>
      <c r="K23" s="172">
        <f>268+371</f>
        <v>639</v>
      </c>
    </row>
    <row r="24" spans="2:11" x14ac:dyDescent="0.3">
      <c r="B24" s="58"/>
      <c r="C24" s="173"/>
      <c r="D24" s="173"/>
      <c r="E24" s="173"/>
      <c r="F24" s="173"/>
      <c r="G24" s="173"/>
      <c r="H24" s="173"/>
      <c r="I24" s="173"/>
      <c r="J24" s="173"/>
      <c r="K24" s="173"/>
    </row>
    <row r="25" spans="2:11" x14ac:dyDescent="0.3">
      <c r="B25" s="49" t="s">
        <v>589</v>
      </c>
      <c r="C25" s="169">
        <f>SUBTOTAL(9,C27:C35)</f>
        <v>4399.5785900000001</v>
      </c>
      <c r="D25" s="169">
        <f t="shared" ref="D25:H25" si="10">SUBTOTAL(9,D27:D35)</f>
        <v>8714.7807300000004</v>
      </c>
      <c r="E25" s="169">
        <f t="shared" si="10"/>
        <v>13567.68564</v>
      </c>
      <c r="F25" s="169">
        <f t="shared" si="10"/>
        <v>26068.065620000001</v>
      </c>
      <c r="G25" s="169">
        <f t="shared" si="10"/>
        <v>25047</v>
      </c>
      <c r="H25" s="169">
        <f t="shared" si="10"/>
        <v>17809.785</v>
      </c>
      <c r="I25" s="169">
        <f t="shared" ref="I25:K25" si="11">SUBTOTAL(9,I27:I35)</f>
        <v>20551</v>
      </c>
      <c r="J25" s="169">
        <f t="shared" si="11"/>
        <v>37054</v>
      </c>
      <c r="K25" s="169">
        <f t="shared" si="11"/>
        <v>11918</v>
      </c>
    </row>
    <row r="26" spans="2:11" x14ac:dyDescent="0.3">
      <c r="B26" s="60" t="s">
        <v>590</v>
      </c>
      <c r="C26" s="168">
        <f t="shared" ref="C26:H26" si="12">SUBTOTAL(9,C27:C30)</f>
        <v>4399.5785900000001</v>
      </c>
      <c r="D26" s="168">
        <f t="shared" si="12"/>
        <v>3884.0807300000006</v>
      </c>
      <c r="E26" s="168">
        <f t="shared" si="12"/>
        <v>4674.4586400000007</v>
      </c>
      <c r="F26" s="168">
        <f t="shared" si="12"/>
        <v>4496.0656199999994</v>
      </c>
      <c r="G26" s="168">
        <f t="shared" si="12"/>
        <v>5859</v>
      </c>
      <c r="H26" s="168">
        <f t="shared" si="12"/>
        <v>3777</v>
      </c>
      <c r="I26" s="168">
        <f t="shared" ref="I26:K26" si="13">SUBTOTAL(9,I27:I30)</f>
        <v>0</v>
      </c>
      <c r="J26" s="168">
        <f t="shared" si="13"/>
        <v>0</v>
      </c>
      <c r="K26" s="168">
        <f t="shared" si="13"/>
        <v>0</v>
      </c>
    </row>
    <row r="27" spans="2:11" x14ac:dyDescent="0.3">
      <c r="B27" s="50" t="s">
        <v>591</v>
      </c>
      <c r="C27" s="172">
        <v>4399.5785900000001</v>
      </c>
      <c r="D27" s="172">
        <v>3884.0807300000006</v>
      </c>
      <c r="E27" s="172">
        <v>4674.4586400000007</v>
      </c>
      <c r="F27" s="172">
        <v>4496.0656199999994</v>
      </c>
      <c r="G27" s="172">
        <v>5859</v>
      </c>
      <c r="H27" s="172">
        <v>3777</v>
      </c>
      <c r="I27" s="172"/>
      <c r="J27" s="172"/>
      <c r="K27" s="172"/>
    </row>
    <row r="28" spans="2:11" x14ac:dyDescent="0.3">
      <c r="B28" s="58" t="s">
        <v>592</v>
      </c>
      <c r="C28" s="173"/>
      <c r="D28" s="173"/>
      <c r="E28" s="173"/>
      <c r="F28" s="173"/>
      <c r="G28" s="173"/>
      <c r="H28" s="173"/>
      <c r="I28" s="173"/>
      <c r="J28" s="173"/>
      <c r="K28" s="173"/>
    </row>
    <row r="29" spans="2:11" x14ac:dyDescent="0.3">
      <c r="B29" s="50" t="s">
        <v>593</v>
      </c>
      <c r="C29" s="172"/>
      <c r="D29" s="172"/>
      <c r="E29" s="172"/>
      <c r="F29" s="172"/>
      <c r="G29" s="172"/>
      <c r="H29" s="172"/>
      <c r="I29" s="172"/>
      <c r="J29" s="172"/>
      <c r="K29" s="172"/>
    </row>
    <row r="30" spans="2:11" x14ac:dyDescent="0.3">
      <c r="B30" s="58" t="s">
        <v>594</v>
      </c>
      <c r="C30" s="173"/>
      <c r="D30" s="173"/>
      <c r="E30" s="173"/>
      <c r="F30" s="173"/>
      <c r="G30" s="173"/>
      <c r="H30" s="173"/>
      <c r="I30" s="173"/>
      <c r="J30" s="173"/>
      <c r="K30" s="173"/>
    </row>
    <row r="31" spans="2:11" ht="27" x14ac:dyDescent="0.3">
      <c r="B31" s="49" t="s">
        <v>595</v>
      </c>
      <c r="C31" s="169">
        <f t="shared" ref="C31:H31" si="14">SUBTOTAL(9,C32:C35)</f>
        <v>0</v>
      </c>
      <c r="D31" s="169">
        <f t="shared" si="14"/>
        <v>4830.7</v>
      </c>
      <c r="E31" s="169">
        <f t="shared" si="14"/>
        <v>8893.226999999999</v>
      </c>
      <c r="F31" s="169">
        <f t="shared" si="14"/>
        <v>21572</v>
      </c>
      <c r="G31" s="169">
        <f t="shared" si="14"/>
        <v>19188</v>
      </c>
      <c r="H31" s="169">
        <f t="shared" si="14"/>
        <v>14032.785</v>
      </c>
      <c r="I31" s="169">
        <f t="shared" ref="I31:K31" si="15">SUBTOTAL(9,I32:I35)</f>
        <v>20551</v>
      </c>
      <c r="J31" s="169">
        <f t="shared" si="15"/>
        <v>37054</v>
      </c>
      <c r="K31" s="169">
        <f t="shared" si="15"/>
        <v>11918</v>
      </c>
    </row>
    <row r="32" spans="2:11" x14ac:dyDescent="0.3">
      <c r="B32" s="61" t="s">
        <v>596</v>
      </c>
      <c r="C32" s="173">
        <v>0</v>
      </c>
      <c r="D32" s="173">
        <v>0</v>
      </c>
      <c r="E32" s="173">
        <v>0</v>
      </c>
      <c r="F32" s="173">
        <v>0</v>
      </c>
      <c r="G32" s="173">
        <v>0</v>
      </c>
      <c r="H32" s="173">
        <v>1145</v>
      </c>
      <c r="I32" s="173">
        <v>1740</v>
      </c>
      <c r="J32" s="173">
        <v>1490</v>
      </c>
      <c r="K32" s="173">
        <v>1806</v>
      </c>
    </row>
    <row r="33" spans="2:11" ht="24" customHeight="1" x14ac:dyDescent="0.3">
      <c r="B33" s="44" t="s">
        <v>597</v>
      </c>
      <c r="C33" s="172"/>
      <c r="D33" s="172">
        <v>3940</v>
      </c>
      <c r="E33" s="172">
        <v>3998</v>
      </c>
      <c r="F33" s="172">
        <v>10754</v>
      </c>
      <c r="G33" s="172">
        <v>10754</v>
      </c>
      <c r="H33" s="172">
        <v>5132</v>
      </c>
      <c r="I33" s="172">
        <v>1615</v>
      </c>
      <c r="J33" s="172">
        <v>1291</v>
      </c>
      <c r="K33" s="172">
        <v>5221</v>
      </c>
    </row>
    <row r="34" spans="2:11" ht="27" customHeight="1" x14ac:dyDescent="0.3">
      <c r="B34" s="61" t="s">
        <v>598</v>
      </c>
      <c r="C34" s="173"/>
      <c r="D34" s="173">
        <v>0</v>
      </c>
      <c r="E34" s="173">
        <v>0</v>
      </c>
      <c r="F34" s="173">
        <v>0</v>
      </c>
      <c r="G34" s="173">
        <v>0</v>
      </c>
      <c r="H34" s="173">
        <v>313.78500000000003</v>
      </c>
      <c r="I34" s="173">
        <v>10248</v>
      </c>
      <c r="J34" s="173">
        <v>30640</v>
      </c>
      <c r="K34" s="173">
        <v>3438</v>
      </c>
    </row>
    <row r="35" spans="2:11" ht="30" customHeight="1" x14ac:dyDescent="0.3">
      <c r="B35" s="44" t="s">
        <v>599</v>
      </c>
      <c r="C35" s="172"/>
      <c r="D35" s="172">
        <v>890.7</v>
      </c>
      <c r="E35" s="172">
        <v>4895.2269999999999</v>
      </c>
      <c r="F35" s="172">
        <v>10818</v>
      </c>
      <c r="G35" s="172">
        <v>8434</v>
      </c>
      <c r="H35" s="172">
        <v>7442</v>
      </c>
      <c r="I35" s="172">
        <v>6948</v>
      </c>
      <c r="J35" s="172">
        <v>3633</v>
      </c>
      <c r="K35" s="172">
        <v>1453</v>
      </c>
    </row>
  </sheetData>
  <phoneticPr fontId="21" type="noConversion"/>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5D8C8-40EA-4E59-AF60-16362732519E}">
  <sheetPr>
    <tabColor theme="4" tint="0.59999389629810485"/>
  </sheetPr>
  <dimension ref="B1:I45"/>
  <sheetViews>
    <sheetView showGridLines="0" zoomScale="90" zoomScaleNormal="90" workbookViewId="0">
      <pane xSplit="3" ySplit="3" topLeftCell="D4" activePane="bottomRight" state="frozen"/>
      <selection pane="topRight" activeCell="D1" sqref="D1"/>
      <selection pane="bottomLeft" activeCell="A4" sqref="A4"/>
      <selection pane="bottomRight" activeCell="G10" sqref="G10"/>
    </sheetView>
  </sheetViews>
  <sheetFormatPr baseColWidth="10" defaultColWidth="11.44140625" defaultRowHeight="14.4" x14ac:dyDescent="0.3"/>
  <cols>
    <col min="1" max="1" width="4.77734375" customWidth="1"/>
    <col min="2" max="2" width="37.109375" customWidth="1"/>
    <col min="3" max="3" width="19.44140625" style="4" customWidth="1"/>
    <col min="4" max="4" width="8.6640625" style="4" customWidth="1"/>
    <col min="5" max="5" width="8.33203125" style="5" customWidth="1"/>
    <col min="6" max="6" width="9.109375" customWidth="1"/>
    <col min="7" max="7" width="106.6640625" customWidth="1"/>
    <col min="8" max="8" width="3.33203125" customWidth="1"/>
  </cols>
  <sheetData>
    <row r="1" spans="2:9" x14ac:dyDescent="0.3">
      <c r="B1" s="1" t="s">
        <v>0</v>
      </c>
      <c r="G1" s="152" t="s">
        <v>600</v>
      </c>
    </row>
    <row r="2" spans="2:9" ht="9" customHeight="1" x14ac:dyDescent="0.3"/>
    <row r="3" spans="2:9" s="2" customFormat="1" ht="43.5" customHeight="1" x14ac:dyDescent="0.3">
      <c r="B3" s="155" t="s">
        <v>601</v>
      </c>
      <c r="C3" s="155" t="s">
        <v>602</v>
      </c>
      <c r="D3" s="155" t="s">
        <v>603</v>
      </c>
      <c r="E3" s="155" t="s">
        <v>604</v>
      </c>
      <c r="F3" s="155" t="s">
        <v>605</v>
      </c>
      <c r="G3" s="155" t="s">
        <v>606</v>
      </c>
    </row>
    <row r="4" spans="2:9" s="110" customFormat="1" ht="19.5" customHeight="1" x14ac:dyDescent="0.3">
      <c r="B4" s="126" t="s">
        <v>607</v>
      </c>
      <c r="C4" s="127"/>
      <c r="D4" s="127">
        <f>SUBTOTAL(9,D5:D8)</f>
        <v>5.9499999999999993</v>
      </c>
      <c r="E4" s="128">
        <f>Tableau55[[#This Row],[ETP]]/Tableau55[[#This Row],[Effectif]]</f>
        <v>0.66111111111111098</v>
      </c>
      <c r="F4" s="127">
        <f>SUBTOTAL(9,F5:F8)</f>
        <v>9</v>
      </c>
      <c r="G4" s="112"/>
      <c r="I4" s="129"/>
    </row>
    <row r="5" spans="2:9" s="80" customFormat="1" ht="57.6" x14ac:dyDescent="0.3">
      <c r="B5" s="116" t="s">
        <v>608</v>
      </c>
      <c r="C5" s="93" t="s">
        <v>609</v>
      </c>
      <c r="D5" s="93">
        <f>Tableau55[[#This Row],[Taux]]*Tableau55[[#This Row],[Effectif]]</f>
        <v>4</v>
      </c>
      <c r="E5" s="117">
        <v>1</v>
      </c>
      <c r="F5" s="93">
        <v>4</v>
      </c>
      <c r="G5" s="14" t="s">
        <v>610</v>
      </c>
      <c r="I5" s="130"/>
    </row>
    <row r="6" spans="2:9" s="80" customFormat="1" ht="21" customHeight="1" x14ac:dyDescent="0.3">
      <c r="B6" s="97" t="s">
        <v>611</v>
      </c>
      <c r="C6" s="94" t="s">
        <v>612</v>
      </c>
      <c r="D6" s="98">
        <f>Tableau55[[#This Row],[Taux]]*Tableau55[[#This Row],[Effectif]]</f>
        <v>1.8</v>
      </c>
      <c r="E6" s="96">
        <v>0.9</v>
      </c>
      <c r="F6" s="94">
        <v>2</v>
      </c>
      <c r="G6" s="97" t="s">
        <v>613</v>
      </c>
      <c r="I6" s="130"/>
    </row>
    <row r="7" spans="2:9" s="80" customFormat="1" ht="18" customHeight="1" x14ac:dyDescent="0.3">
      <c r="B7" s="116" t="s">
        <v>614</v>
      </c>
      <c r="C7" s="93" t="s">
        <v>615</v>
      </c>
      <c r="D7" s="93">
        <f>Tableau55[[#This Row],[Taux]]*Tableau55[[#This Row],[Effectif]]</f>
        <v>0.1</v>
      </c>
      <c r="E7" s="117">
        <v>0.05</v>
      </c>
      <c r="F7" s="93">
        <v>2</v>
      </c>
      <c r="G7" s="14" t="s">
        <v>616</v>
      </c>
      <c r="I7" s="130"/>
    </row>
    <row r="8" spans="2:9" s="80" customFormat="1" ht="21" customHeight="1" x14ac:dyDescent="0.3">
      <c r="B8" s="95" t="s">
        <v>617</v>
      </c>
      <c r="C8" s="94" t="s">
        <v>618</v>
      </c>
      <c r="D8" s="94">
        <f>Tableau55[[#This Row],[Taux]]*Tableau55[[#This Row],[Effectif]]</f>
        <v>0.05</v>
      </c>
      <c r="E8" s="96">
        <v>0.05</v>
      </c>
      <c r="F8" s="94">
        <v>1</v>
      </c>
      <c r="G8" s="95" t="s">
        <v>619</v>
      </c>
      <c r="I8" s="130"/>
    </row>
    <row r="9" spans="2:9" s="110" customFormat="1" ht="20.25" customHeight="1" x14ac:dyDescent="0.3">
      <c r="B9" s="122" t="s">
        <v>620</v>
      </c>
      <c r="C9" s="7"/>
      <c r="D9" s="123">
        <f>SUBTOTAL(9,D10:D19)</f>
        <v>8.245000000000001</v>
      </c>
      <c r="E9" s="124">
        <f>Tableau55[[#This Row],[ETP]]/Tableau55[[#This Row],[Effectif]]</f>
        <v>0.43394736842105269</v>
      </c>
      <c r="F9" s="125">
        <f>SUBTOTAL(9,F10:F19)</f>
        <v>19</v>
      </c>
      <c r="G9" s="111"/>
      <c r="I9" s="129"/>
    </row>
    <row r="10" spans="2:9" s="80" customFormat="1" ht="86.4" x14ac:dyDescent="0.3">
      <c r="B10" s="99" t="s">
        <v>621</v>
      </c>
      <c r="C10" s="100" t="s">
        <v>609</v>
      </c>
      <c r="D10" s="100">
        <f>Tableau55[[#This Row],[Taux]]*Tableau55[[#This Row],[Effectif]]</f>
        <v>2</v>
      </c>
      <c r="E10" s="101">
        <v>1</v>
      </c>
      <c r="F10" s="100">
        <v>2</v>
      </c>
      <c r="G10" s="102" t="s">
        <v>622</v>
      </c>
    </row>
    <row r="11" spans="2:9" s="80" customFormat="1" ht="28.8" x14ac:dyDescent="0.3">
      <c r="B11" s="97" t="s">
        <v>623</v>
      </c>
      <c r="C11" s="94" t="s">
        <v>624</v>
      </c>
      <c r="D11" s="114">
        <f>Tableau55[[#This Row],[Taux]]*Tableau55[[#This Row],[Effectif]]</f>
        <v>2</v>
      </c>
      <c r="E11" s="96">
        <v>1</v>
      </c>
      <c r="F11" s="94">
        <v>2</v>
      </c>
      <c r="G11" s="97" t="s">
        <v>625</v>
      </c>
    </row>
    <row r="12" spans="2:9" s="80" customFormat="1" ht="30.75" customHeight="1" x14ac:dyDescent="0.3">
      <c r="B12" s="99" t="s">
        <v>617</v>
      </c>
      <c r="C12" s="10" t="s">
        <v>626</v>
      </c>
      <c r="D12" s="100">
        <f>Tableau55[[#This Row],[Taux]]*Tableau55[[#This Row],[Effectif]]</f>
        <v>1</v>
      </c>
      <c r="E12" s="101">
        <v>1</v>
      </c>
      <c r="F12" s="100">
        <v>1</v>
      </c>
      <c r="G12" s="102" t="s">
        <v>627</v>
      </c>
    </row>
    <row r="13" spans="2:9" s="80" customFormat="1" ht="100.8" x14ac:dyDescent="0.3">
      <c r="B13" s="97" t="s">
        <v>628</v>
      </c>
      <c r="C13" s="94" t="s">
        <v>615</v>
      </c>
      <c r="D13" s="98">
        <f>Tableau55[[#This Row],[Taux]]*Tableau55[[#This Row],[Effectif]]</f>
        <v>0.79500000000000004</v>
      </c>
      <c r="E13" s="96">
        <v>0.26500000000000001</v>
      </c>
      <c r="F13" s="94">
        <v>3</v>
      </c>
      <c r="G13" s="97" t="s">
        <v>629</v>
      </c>
      <c r="I13" s="130"/>
    </row>
    <row r="14" spans="2:9" s="80" customFormat="1" ht="33" customHeight="1" x14ac:dyDescent="0.3">
      <c r="B14" s="99" t="s">
        <v>630</v>
      </c>
      <c r="C14" s="100" t="s">
        <v>631</v>
      </c>
      <c r="D14" s="100">
        <f>Tableau55[[#This Row],[Taux]]*Tableau55[[#This Row],[Effectif]]</f>
        <v>0.65</v>
      </c>
      <c r="E14" s="101">
        <v>0.65</v>
      </c>
      <c r="F14" s="100">
        <v>1</v>
      </c>
      <c r="G14" s="102" t="s">
        <v>632</v>
      </c>
    </row>
    <row r="15" spans="2:9" s="80" customFormat="1" ht="33" customHeight="1" x14ac:dyDescent="0.3">
      <c r="B15" s="97" t="s">
        <v>633</v>
      </c>
      <c r="C15" s="94" t="s">
        <v>634</v>
      </c>
      <c r="D15" s="98">
        <f>Tableau55[[#This Row],[Taux]]*Tableau55[[#This Row],[Effectif]]</f>
        <v>0.5</v>
      </c>
      <c r="E15" s="96">
        <v>0.125</v>
      </c>
      <c r="F15" s="94">
        <v>4</v>
      </c>
      <c r="G15" s="97" t="s">
        <v>635</v>
      </c>
    </row>
    <row r="16" spans="2:9" ht="24" customHeight="1" x14ac:dyDescent="0.3">
      <c r="B16" s="102" t="s">
        <v>636</v>
      </c>
      <c r="C16" s="10" t="s">
        <v>615</v>
      </c>
      <c r="D16" s="103">
        <f>Tableau55[[#This Row],[Taux]]*Tableau55[[#This Row],[Effectif]]</f>
        <v>0.44999999999999996</v>
      </c>
      <c r="E16" s="101">
        <v>0.15</v>
      </c>
      <c r="F16" s="100">
        <v>3</v>
      </c>
      <c r="G16" s="102" t="s">
        <v>637</v>
      </c>
      <c r="I16" s="131"/>
    </row>
    <row r="17" spans="2:9" s="80" customFormat="1" ht="28.8" x14ac:dyDescent="0.3">
      <c r="B17" s="97" t="s">
        <v>638</v>
      </c>
      <c r="C17" s="94" t="s">
        <v>639</v>
      </c>
      <c r="D17" s="98">
        <f>Tableau55[[#This Row],[Taux]]*Tableau55[[#This Row],[Effectif]]</f>
        <v>0.5</v>
      </c>
      <c r="E17" s="96">
        <v>0.5</v>
      </c>
      <c r="F17" s="94">
        <v>1</v>
      </c>
      <c r="G17" s="97" t="s">
        <v>640</v>
      </c>
    </row>
    <row r="18" spans="2:9" s="80" customFormat="1" ht="33" customHeight="1" x14ac:dyDescent="0.3">
      <c r="B18" s="99" t="s">
        <v>641</v>
      </c>
      <c r="C18" s="100" t="s">
        <v>642</v>
      </c>
      <c r="D18" s="100">
        <f>Tableau55[[#This Row],[Taux]]*Tableau55[[#This Row],[Effectif]]</f>
        <v>0.3</v>
      </c>
      <c r="E18" s="101">
        <v>0.3</v>
      </c>
      <c r="F18" s="100">
        <v>1</v>
      </c>
      <c r="G18" s="102" t="s">
        <v>643</v>
      </c>
    </row>
    <row r="19" spans="2:9" s="80" customFormat="1" ht="33" customHeight="1" x14ac:dyDescent="0.3">
      <c r="B19" s="97" t="s">
        <v>644</v>
      </c>
      <c r="C19" s="75" t="s">
        <v>645</v>
      </c>
      <c r="D19" s="98">
        <f>Tableau55[[#This Row],[Taux]]*Tableau55[[#This Row],[Effectif]]</f>
        <v>0.05</v>
      </c>
      <c r="E19" s="96">
        <v>0.05</v>
      </c>
      <c r="F19" s="94">
        <v>1</v>
      </c>
      <c r="G19" s="97" t="s">
        <v>646</v>
      </c>
      <c r="I19" s="130"/>
    </row>
    <row r="20" spans="2:9" s="110" customFormat="1" ht="19.5" customHeight="1" x14ac:dyDescent="0.3">
      <c r="B20" s="109" t="s">
        <v>647</v>
      </c>
      <c r="C20" s="62"/>
      <c r="D20" s="153">
        <f>SUBTOTAL(9,D21:D32)</f>
        <v>27.55</v>
      </c>
      <c r="E20" s="119">
        <f>Tableau55[[#This Row],[ETP]]/Tableau55[[#This Row],[Effectif]]</f>
        <v>0.70280612244897955</v>
      </c>
      <c r="F20" s="63">
        <f>SUBTOTAL(9,F21:F32)</f>
        <v>39.200000000000003</v>
      </c>
      <c r="G20" s="109"/>
      <c r="I20" s="129"/>
    </row>
    <row r="21" spans="2:9" ht="35.25" customHeight="1" x14ac:dyDescent="0.3">
      <c r="B21" s="102" t="s">
        <v>648</v>
      </c>
      <c r="C21" s="10" t="s">
        <v>21</v>
      </c>
      <c r="D21" s="100">
        <f>Tableau55[[#This Row],[Taux]]*Tableau55[[#This Row],[Effectif]]</f>
        <v>10</v>
      </c>
      <c r="E21" s="101">
        <v>1</v>
      </c>
      <c r="F21" s="100">
        <v>10</v>
      </c>
      <c r="G21" s="102" t="s">
        <v>649</v>
      </c>
      <c r="H21" s="131"/>
      <c r="I21" s="131"/>
    </row>
    <row r="22" spans="2:9" x14ac:dyDescent="0.3">
      <c r="B22" s="97" t="s">
        <v>650</v>
      </c>
      <c r="C22" s="94" t="s">
        <v>651</v>
      </c>
      <c r="D22" s="114">
        <f>Tableau55[[#This Row],[Taux]]*Tableau55[[#This Row],[Effectif]]</f>
        <v>4</v>
      </c>
      <c r="E22" s="96">
        <v>1</v>
      </c>
      <c r="F22" s="94">
        <v>4</v>
      </c>
      <c r="G22" s="97" t="s">
        <v>652</v>
      </c>
    </row>
    <row r="23" spans="2:9" ht="29.55" customHeight="1" x14ac:dyDescent="0.3">
      <c r="B23" s="102" t="s">
        <v>653</v>
      </c>
      <c r="C23" s="10" t="s">
        <v>654</v>
      </c>
      <c r="D23" s="103">
        <f>Tableau55[[#This Row],[Taux]]*Tableau55[[#This Row],[Effectif]]</f>
        <v>3.2</v>
      </c>
      <c r="E23" s="101">
        <v>1</v>
      </c>
      <c r="F23" s="100">
        <v>3.2</v>
      </c>
      <c r="G23" s="102" t="s">
        <v>655</v>
      </c>
    </row>
    <row r="24" spans="2:9" ht="60" customHeight="1" x14ac:dyDescent="0.3">
      <c r="B24" s="97" t="s">
        <v>656</v>
      </c>
      <c r="C24" s="94" t="s">
        <v>657</v>
      </c>
      <c r="D24" s="114">
        <f>Tableau55[[#This Row],[Taux]]*Tableau55[[#This Row],[Effectif]]</f>
        <v>3</v>
      </c>
      <c r="E24" s="96">
        <v>1</v>
      </c>
      <c r="F24" s="94">
        <v>3</v>
      </c>
      <c r="G24" s="97" t="s">
        <v>658</v>
      </c>
      <c r="I24" s="131"/>
    </row>
    <row r="25" spans="2:9" ht="82.5" customHeight="1" x14ac:dyDescent="0.3">
      <c r="B25" s="102" t="s">
        <v>659</v>
      </c>
      <c r="C25" s="100" t="s">
        <v>639</v>
      </c>
      <c r="D25" s="103">
        <f>Tableau55[[#This Row],[Taux]]*Tableau55[[#This Row],[Effectif]]</f>
        <v>1.8900000000000001</v>
      </c>
      <c r="E25" s="101">
        <v>0.27</v>
      </c>
      <c r="F25" s="100">
        <v>7</v>
      </c>
      <c r="G25" s="102" t="s">
        <v>660</v>
      </c>
    </row>
    <row r="26" spans="2:9" ht="57.6" x14ac:dyDescent="0.3">
      <c r="B26" s="97" t="s">
        <v>661</v>
      </c>
      <c r="C26" s="94" t="s">
        <v>612</v>
      </c>
      <c r="D26" s="98">
        <f>Tableau55[[#This Row],[Taux]]*Tableau55[[#This Row],[Effectif]]</f>
        <v>1.5</v>
      </c>
      <c r="E26" s="96">
        <v>0.75</v>
      </c>
      <c r="F26" s="94">
        <v>2</v>
      </c>
      <c r="G26" s="97" t="s">
        <v>662</v>
      </c>
    </row>
    <row r="27" spans="2:9" ht="38.4" x14ac:dyDescent="0.3">
      <c r="B27" s="99" t="s">
        <v>663</v>
      </c>
      <c r="C27" s="10" t="s">
        <v>664</v>
      </c>
      <c r="D27" s="103">
        <f>Tableau55[[#This Row],[Taux]]*Tableau55[[#This Row],[Effectif]]</f>
        <v>1.26</v>
      </c>
      <c r="E27" s="101">
        <v>0.42</v>
      </c>
      <c r="F27" s="100">
        <v>3</v>
      </c>
      <c r="G27" s="102" t="s">
        <v>665</v>
      </c>
    </row>
    <row r="28" spans="2:9" ht="28.5" customHeight="1" x14ac:dyDescent="0.3">
      <c r="B28" s="97" t="s">
        <v>666</v>
      </c>
      <c r="C28" s="75" t="s">
        <v>626</v>
      </c>
      <c r="D28" s="98">
        <f>Tableau55[[#This Row],[Taux]]*Tableau55[[#This Row],[Effectif]]</f>
        <v>1</v>
      </c>
      <c r="E28" s="96">
        <v>1</v>
      </c>
      <c r="F28" s="94">
        <v>1</v>
      </c>
      <c r="G28" s="97" t="s">
        <v>667</v>
      </c>
    </row>
    <row r="29" spans="2:9" s="80" customFormat="1" ht="26.4" x14ac:dyDescent="0.3">
      <c r="B29" s="99" t="s">
        <v>668</v>
      </c>
      <c r="C29" s="10" t="s">
        <v>669</v>
      </c>
      <c r="D29" s="103">
        <f>Tableau55[[#This Row],[Taux]]*Tableau55[[#This Row],[Effectif]]</f>
        <v>0.9</v>
      </c>
      <c r="E29" s="101">
        <v>0.9</v>
      </c>
      <c r="F29" s="100">
        <v>1</v>
      </c>
      <c r="G29" s="102" t="s">
        <v>670</v>
      </c>
    </row>
    <row r="30" spans="2:9" ht="33.75" customHeight="1" x14ac:dyDescent="0.3">
      <c r="B30" s="97" t="s">
        <v>671</v>
      </c>
      <c r="C30" s="75" t="s">
        <v>672</v>
      </c>
      <c r="D30" s="98">
        <f>Tableau55[[#This Row],[Taux]]*Tableau55[[#This Row],[Effectif]]</f>
        <v>0.5</v>
      </c>
      <c r="E30" s="96">
        <v>0.5</v>
      </c>
      <c r="F30" s="94">
        <v>1</v>
      </c>
      <c r="G30" s="97" t="s">
        <v>673</v>
      </c>
    </row>
    <row r="31" spans="2:9" ht="43.2" x14ac:dyDescent="0.3">
      <c r="B31" s="102" t="s">
        <v>674</v>
      </c>
      <c r="C31" s="10" t="s">
        <v>642</v>
      </c>
      <c r="D31" s="103">
        <f>Tableau55[[#This Row],[Taux]]*Tableau55[[#This Row],[Effectif]]</f>
        <v>0.2</v>
      </c>
      <c r="E31" s="101">
        <v>0.1</v>
      </c>
      <c r="F31" s="100">
        <v>2</v>
      </c>
      <c r="G31" s="102" t="s">
        <v>675</v>
      </c>
    </row>
    <row r="32" spans="2:9" ht="40.5" customHeight="1" x14ac:dyDescent="0.3">
      <c r="B32" s="97" t="s">
        <v>676</v>
      </c>
      <c r="C32" s="75" t="s">
        <v>664</v>
      </c>
      <c r="D32" s="98">
        <f>Tableau55[[#This Row],[Taux]]*Tableau55[[#This Row],[Effectif]]</f>
        <v>0.1</v>
      </c>
      <c r="E32" s="96">
        <v>0.05</v>
      </c>
      <c r="F32" s="94">
        <v>2</v>
      </c>
      <c r="G32" s="97" t="s">
        <v>677</v>
      </c>
    </row>
    <row r="33" spans="2:9" s="110" customFormat="1" ht="20.25" customHeight="1" x14ac:dyDescent="0.3">
      <c r="B33" s="113" t="s">
        <v>678</v>
      </c>
      <c r="C33" s="64"/>
      <c r="D33" s="65">
        <f>SUBTOTAL(9,D34:D42)</f>
        <v>169.09999999999997</v>
      </c>
      <c r="E33" s="120">
        <f>Tableau55[[#This Row],[ETP]]/Tableau55[[#This Row],[Effectif]]</f>
        <v>0.97183908045976997</v>
      </c>
      <c r="F33" s="65">
        <f>SUBTOTAL(9,F34:F42)</f>
        <v>174</v>
      </c>
      <c r="G33" s="113"/>
      <c r="H33" s="129"/>
      <c r="I33" s="129"/>
    </row>
    <row r="34" spans="2:9" s="80" customFormat="1" ht="129.75" customHeight="1" x14ac:dyDescent="0.3">
      <c r="B34" s="102" t="s">
        <v>679</v>
      </c>
      <c r="C34" s="10" t="s">
        <v>21</v>
      </c>
      <c r="D34" s="154">
        <f>Tableau55[[#This Row],[Taux]]*Tableau55[[#This Row],[Effectif]]</f>
        <v>90</v>
      </c>
      <c r="E34" s="101">
        <v>1</v>
      </c>
      <c r="F34" s="100">
        <v>90</v>
      </c>
      <c r="G34" s="102" t="s">
        <v>680</v>
      </c>
    </row>
    <row r="35" spans="2:9" s="80" customFormat="1" ht="86.4" x14ac:dyDescent="0.3">
      <c r="B35" s="97" t="s">
        <v>681</v>
      </c>
      <c r="C35" s="75" t="s">
        <v>21</v>
      </c>
      <c r="D35" s="114">
        <f>Tableau55[[#This Row],[Taux]]*Tableau55[[#This Row],[Effectif]]</f>
        <v>44</v>
      </c>
      <c r="E35" s="96">
        <v>1</v>
      </c>
      <c r="F35" s="94">
        <f>53-9</f>
        <v>44</v>
      </c>
      <c r="G35" s="97" t="s">
        <v>682</v>
      </c>
    </row>
    <row r="36" spans="2:9" s="80" customFormat="1" ht="86.4" x14ac:dyDescent="0.3">
      <c r="B36" s="102" t="s">
        <v>683</v>
      </c>
      <c r="C36" s="100" t="s">
        <v>21</v>
      </c>
      <c r="D36" s="100">
        <f>Tableau55[[#This Row],[Taux]]*Tableau55[[#This Row],[Effectif]]</f>
        <v>18</v>
      </c>
      <c r="E36" s="104">
        <v>1</v>
      </c>
      <c r="F36" s="100">
        <v>18</v>
      </c>
      <c r="G36" s="102" t="s">
        <v>684</v>
      </c>
    </row>
    <row r="37" spans="2:9" s="80" customFormat="1" ht="94.5" customHeight="1" x14ac:dyDescent="0.3">
      <c r="B37" s="97" t="s">
        <v>685</v>
      </c>
      <c r="C37" s="75" t="s">
        <v>21</v>
      </c>
      <c r="D37" s="114">
        <f>Tableau55[[#This Row],[Taux]]*Tableau55[[#This Row],[Effectif]]</f>
        <v>9</v>
      </c>
      <c r="E37" s="96">
        <v>1</v>
      </c>
      <c r="F37" s="94">
        <v>9</v>
      </c>
      <c r="G37" s="97" t="s">
        <v>707</v>
      </c>
      <c r="I37" s="118" t="s">
        <v>722</v>
      </c>
    </row>
    <row r="38" spans="2:9" s="80" customFormat="1" ht="31.95" customHeight="1" x14ac:dyDescent="0.3">
      <c r="B38" s="102" t="s">
        <v>686</v>
      </c>
      <c r="C38" s="10" t="s">
        <v>687</v>
      </c>
      <c r="D38" s="115">
        <f>Tableau55[[#This Row],[Taux]]*Tableau55[[#This Row],[Effectif]]</f>
        <v>2.0100000000000002</v>
      </c>
      <c r="E38" s="101">
        <v>0.67</v>
      </c>
      <c r="F38" s="100">
        <v>3</v>
      </c>
      <c r="G38" s="102" t="s">
        <v>688</v>
      </c>
    </row>
    <row r="39" spans="2:9" s="80" customFormat="1" ht="57.6" x14ac:dyDescent="0.3">
      <c r="B39" s="97" t="s">
        <v>689</v>
      </c>
      <c r="C39" s="75" t="s">
        <v>690</v>
      </c>
      <c r="D39" s="114">
        <f>Tableau55[[#This Row],[Taux]]*Tableau55[[#This Row],[Effectif]]</f>
        <v>2</v>
      </c>
      <c r="E39" s="96">
        <v>1</v>
      </c>
      <c r="F39" s="94">
        <v>2</v>
      </c>
      <c r="G39" s="97" t="s">
        <v>691</v>
      </c>
      <c r="H39" s="130"/>
      <c r="I39" s="130"/>
    </row>
    <row r="40" spans="2:9" s="80" customFormat="1" ht="30" customHeight="1" x14ac:dyDescent="0.3">
      <c r="B40" s="99" t="s">
        <v>692</v>
      </c>
      <c r="C40" s="10" t="s">
        <v>693</v>
      </c>
      <c r="D40" s="103">
        <f>Tableau55[[#This Row],[Taux]]*Tableau55[[#This Row],[Effectif]]</f>
        <v>1.6</v>
      </c>
      <c r="E40" s="104">
        <v>0.8</v>
      </c>
      <c r="F40" s="100">
        <v>2</v>
      </c>
      <c r="G40" s="102" t="s">
        <v>694</v>
      </c>
    </row>
    <row r="41" spans="2:9" s="80" customFormat="1" ht="110.25" customHeight="1" x14ac:dyDescent="0.3">
      <c r="B41" s="97" t="s">
        <v>695</v>
      </c>
      <c r="C41" s="75" t="s">
        <v>696</v>
      </c>
      <c r="D41" s="98">
        <f>Tableau55[[#This Row],[Taux]]*Tableau55[[#This Row],[Effectif]]</f>
        <v>1.29</v>
      </c>
      <c r="E41" s="96">
        <v>0.43</v>
      </c>
      <c r="F41" s="94">
        <v>3</v>
      </c>
      <c r="G41" s="97" t="s">
        <v>697</v>
      </c>
    </row>
    <row r="42" spans="2:9" s="80" customFormat="1" ht="41.55" customHeight="1" thickBot="1" x14ac:dyDescent="0.35">
      <c r="B42" s="102" t="s">
        <v>698</v>
      </c>
      <c r="C42" s="10" t="s">
        <v>699</v>
      </c>
      <c r="D42" s="103">
        <f>Tableau55[[#This Row],[Taux]]*Tableau55[[#This Row],[Effectif]]</f>
        <v>1.2000000000000002</v>
      </c>
      <c r="E42" s="101">
        <v>0.4</v>
      </c>
      <c r="F42" s="100">
        <v>3</v>
      </c>
      <c r="G42" s="102" t="s">
        <v>700</v>
      </c>
    </row>
    <row r="43" spans="2:9" ht="18.75" customHeight="1" thickTop="1" x14ac:dyDescent="0.3">
      <c r="B43" s="105" t="s">
        <v>205</v>
      </c>
      <c r="C43" s="106"/>
      <c r="D43" s="107">
        <f>SUBTOTAL(9,D4:D42)</f>
        <v>210.84499999999997</v>
      </c>
      <c r="E43" s="121">
        <f>Tableau55[[#This Row],[ETP]]/Tableau55[[#This Row],[Effectif]]</f>
        <v>0.87415008291873952</v>
      </c>
      <c r="F43" s="108">
        <f>SUBTOTAL(9,F4:F42)</f>
        <v>241.2</v>
      </c>
      <c r="G43" s="105"/>
    </row>
    <row r="44" spans="2:9" ht="46.5" customHeight="1" x14ac:dyDescent="0.3">
      <c r="B44" s="213" t="s">
        <v>701</v>
      </c>
      <c r="C44" s="213"/>
    </row>
    <row r="45" spans="2:9" x14ac:dyDescent="0.3">
      <c r="E45" s="4"/>
    </row>
  </sheetData>
  <mergeCells count="1">
    <mergeCell ref="B44:C44"/>
  </mergeCells>
  <pageMargins left="0.7" right="0.7" top="0.75" bottom="0.75" header="0.3" footer="0.3"/>
  <pageSetup paperSize="9" orientation="portrait" horizontalDpi="4294967293"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9A774D407AC60468844EB13824B448A" ma:contentTypeVersion="5" ma:contentTypeDescription="Crée un document." ma:contentTypeScope="" ma:versionID="d5caeb17a3e8357aaa9c542fb202eab3">
  <xsd:schema xmlns:xsd="http://www.w3.org/2001/XMLSchema" xmlns:xs="http://www.w3.org/2001/XMLSchema" xmlns:p="http://schemas.microsoft.com/office/2006/metadata/properties" xmlns:ns2="62255696-6bb2-4e03-ae62-a3b8f98dd37b" targetNamespace="http://schemas.microsoft.com/office/2006/metadata/properties" ma:root="true" ma:fieldsID="843b464543725f9b37b576b0b0772feb" ns2:_="">
    <xsd:import namespace="62255696-6bb2-4e03-ae62-a3b8f98dd37b"/>
    <xsd:element name="properties">
      <xsd:complexType>
        <xsd:sequence>
          <xsd:element name="documentManagement">
            <xsd:complexType>
              <xsd:all>
                <xsd:element ref="ns2:Statut" minOccurs="0"/>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255696-6bb2-4e03-ae62-a3b8f98dd37b" elementFormDefault="qualified">
    <xsd:import namespace="http://schemas.microsoft.com/office/2006/documentManagement/types"/>
    <xsd:import namespace="http://schemas.microsoft.com/office/infopath/2007/PartnerControls"/>
    <xsd:element name="Statut" ma:index="8" nillable="true" ma:displayName="Statut" ma:default="Travail en cours" ma:format="Dropdown" ma:internalName="Statut">
      <xsd:simpleType>
        <xsd:restriction base="dms:Choice">
          <xsd:enumeration value="Travail en cours"/>
          <xsd:enumeration value="Finalisé"/>
          <xsd:enumeration value="Validé"/>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t xmlns="62255696-6bb2-4e03-ae62-a3b8f98dd37b">Travail en cours</Statut>
  </documentManagement>
</p:properties>
</file>

<file path=customXml/itemProps1.xml><?xml version="1.0" encoding="utf-8"?>
<ds:datastoreItem xmlns:ds="http://schemas.openxmlformats.org/officeDocument/2006/customXml" ds:itemID="{F6E8EF33-2E00-47EC-A75C-2FDF88AC23FC}">
  <ds:schemaRefs>
    <ds:schemaRef ds:uri="http://schemas.microsoft.com/sharepoint/v3/contenttype/forms"/>
  </ds:schemaRefs>
</ds:datastoreItem>
</file>

<file path=customXml/itemProps2.xml><?xml version="1.0" encoding="utf-8"?>
<ds:datastoreItem xmlns:ds="http://schemas.openxmlformats.org/officeDocument/2006/customXml" ds:itemID="{0AACC6CF-9FF5-411F-BE9E-4E921AD83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255696-6bb2-4e03-ae62-a3b8f98dd3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FDEC49-91A6-4599-8731-36AC895363C2}">
  <ds:schemaRefs>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62255696-6bb2-4e03-ae62-a3b8f98dd37b"/>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Données Générales</vt:lpstr>
      <vt:lpstr>Diagnostic Détaillé</vt:lpstr>
      <vt:lpstr>Moyens Financiers</vt:lpstr>
      <vt:lpstr>Moyens Humains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 Becart</dc:creator>
  <cp:keywords/>
  <dc:description/>
  <cp:lastModifiedBy>Marie-Sophie Berger</cp:lastModifiedBy>
  <cp:revision/>
  <dcterms:created xsi:type="dcterms:W3CDTF">2025-04-07T06:09:51Z</dcterms:created>
  <dcterms:modified xsi:type="dcterms:W3CDTF">2026-05-20T09:36:01Z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0x01010059A774D407AC60468844EB13824B448A</vt:lpwstr>
  </property>
</Properties>
</file>