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remoux\OneDrive - Université Nice Sophia Antipolis\Sauvegarde PC 2022-10\Mes Docs\SELECTION\PARCOURSUP\Parcoursup 2026\2. Candidatures\"/>
    </mc:Choice>
  </mc:AlternateContent>
  <xr:revisionPtr revIDLastSave="23" documentId="13_ncr:1_{66896CC0-EA08-47A3-8D15-28FBCA4B534A}" xr6:coauthVersionLast="36" xr6:coauthVersionMax="36" xr10:uidLastSave="{60D21CA9-A8F6-4E43-B5B5-949E7FD8699A}"/>
  <bookViews>
    <workbookView xWindow="0" yWindow="0" windowWidth="23040" windowHeight="9195" activeTab="3" xr2:uid="{00000000-000D-0000-FFFF-FFFF00000000}"/>
  </bookViews>
  <sheets>
    <sheet name="LICENCE" sheetId="1" r:id="rId1"/>
    <sheet name="PASS-LAS" sheetId="6" r:id="rId2"/>
    <sheet name="DOUBLE LICENCE" sheetId="3" r:id="rId3"/>
    <sheet name="BUT" sheetId="4" r:id="rId4"/>
    <sheet name="TOTAL UCA" sheetId="5" r:id="rId5"/>
  </sheets>
  <definedNames>
    <definedName name="_xlnm._FilterDatabase" localSheetId="0" hidden="1">LICENCE!$A$2:$O$2</definedName>
    <definedName name="_xlnm.Print_Area" localSheetId="3">BUT!$A$1:$O$55</definedName>
    <definedName name="_xlnm.Print_Area" localSheetId="2">'DOUBLE LICENCE'!$A$1:$Z$21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12" i="1"/>
  <c r="D30" i="1"/>
  <c r="D29" i="1"/>
  <c r="D39" i="1"/>
  <c r="D38" i="1"/>
  <c r="D36" i="1"/>
  <c r="D20" i="1"/>
  <c r="D7" i="1"/>
  <c r="D6" i="1"/>
  <c r="D4" i="1"/>
  <c r="D3" i="1"/>
  <c r="O15" i="4" l="1"/>
  <c r="C4" i="1" l="1"/>
  <c r="C3" i="1"/>
  <c r="C6" i="1"/>
  <c r="C52" i="1"/>
  <c r="C12" i="1"/>
  <c r="C21" i="1"/>
  <c r="N50" i="1" l="1"/>
  <c r="N51" i="1"/>
  <c r="E50" i="1"/>
  <c r="E51" i="1"/>
  <c r="I6" i="5" l="1"/>
  <c r="I5" i="5"/>
  <c r="O21" i="4"/>
  <c r="O20" i="4"/>
  <c r="O19" i="4"/>
  <c r="O18" i="4"/>
  <c r="O17" i="4"/>
  <c r="O16" i="4"/>
  <c r="O13" i="4"/>
  <c r="O12" i="4"/>
  <c r="O11" i="4"/>
  <c r="O9" i="4"/>
  <c r="O8" i="4"/>
  <c r="O7" i="4"/>
  <c r="O5" i="4"/>
  <c r="O4" i="4"/>
  <c r="N22" i="4"/>
  <c r="N36" i="1"/>
  <c r="N7" i="1"/>
  <c r="N6" i="1"/>
  <c r="M21" i="3"/>
  <c r="N19" i="3"/>
  <c r="N18" i="3"/>
  <c r="N16" i="3"/>
  <c r="N15" i="3"/>
  <c r="N13" i="3"/>
  <c r="N12" i="3"/>
  <c r="N9" i="3"/>
  <c r="N8" i="3"/>
  <c r="N7" i="3"/>
  <c r="N5" i="3"/>
  <c r="N4" i="3"/>
  <c r="L23" i="6"/>
  <c r="L21" i="6"/>
  <c r="L20" i="6"/>
  <c r="L19" i="6"/>
  <c r="L18" i="6"/>
  <c r="L17" i="6"/>
  <c r="L16" i="6"/>
  <c r="L14" i="6"/>
  <c r="L13" i="6"/>
  <c r="L12" i="6"/>
  <c r="K27" i="6"/>
  <c r="M21" i="1"/>
  <c r="D21" i="1"/>
  <c r="N21" i="1" s="1"/>
  <c r="D12" i="1"/>
  <c r="N66" i="1"/>
  <c r="N65" i="1"/>
  <c r="N64" i="1"/>
  <c r="N57" i="1"/>
  <c r="N58" i="1"/>
  <c r="N59" i="1"/>
  <c r="N60" i="1"/>
  <c r="N61" i="1"/>
  <c r="N62" i="1"/>
  <c r="N56" i="1"/>
  <c r="N45" i="1"/>
  <c r="N46" i="1"/>
  <c r="N47" i="1"/>
  <c r="N48" i="1"/>
  <c r="N49" i="1"/>
  <c r="N37" i="1"/>
  <c r="N38" i="1"/>
  <c r="N39" i="1"/>
  <c r="N40" i="1"/>
  <c r="N41" i="1"/>
  <c r="N42" i="1"/>
  <c r="N10" i="1"/>
  <c r="N11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9" i="1"/>
  <c r="N4" i="1"/>
  <c r="N3" i="1"/>
  <c r="D52" i="1" l="1"/>
  <c r="J4" i="5" s="1"/>
  <c r="N12" i="1"/>
  <c r="I4" i="5"/>
  <c r="H6" i="5"/>
  <c r="H5" i="5"/>
  <c r="H4" i="5"/>
  <c r="E15" i="4"/>
  <c r="M22" i="4"/>
  <c r="C30" i="1"/>
  <c r="C29" i="1"/>
  <c r="C39" i="1"/>
  <c r="C38" i="1"/>
  <c r="C36" i="1"/>
  <c r="C20" i="1"/>
  <c r="K4" i="5" l="1"/>
  <c r="J27" i="6"/>
  <c r="F52" i="1" l="1"/>
  <c r="G52" i="1"/>
  <c r="H52" i="1"/>
  <c r="I52" i="1"/>
  <c r="J52" i="1"/>
  <c r="K52" i="1"/>
  <c r="L52" i="1"/>
  <c r="L30" i="1"/>
  <c r="L4" i="1"/>
  <c r="L3" i="1"/>
  <c r="L7" i="1"/>
  <c r="D21" i="3"/>
  <c r="J5" i="5" s="1"/>
  <c r="K5" i="5" s="1"/>
  <c r="L21" i="3"/>
  <c r="L29" i="1"/>
  <c r="L21" i="1"/>
  <c r="L20" i="1"/>
  <c r="L12" i="1"/>
  <c r="N21" i="3" l="1"/>
  <c r="N52" i="1"/>
  <c r="G4" i="5" l="1"/>
  <c r="C21" i="3"/>
  <c r="E36" i="1"/>
  <c r="E37" i="1"/>
  <c r="E38" i="1"/>
  <c r="E39" i="1"/>
  <c r="E40" i="1"/>
  <c r="E41" i="1"/>
  <c r="E42" i="1"/>
  <c r="E48" i="1"/>
  <c r="E49" i="1"/>
  <c r="E9" i="1"/>
  <c r="E10" i="1"/>
  <c r="G22" i="4" l="1"/>
  <c r="H22" i="4"/>
  <c r="I22" i="4"/>
  <c r="J22" i="4"/>
  <c r="K22" i="4"/>
  <c r="L22" i="4"/>
  <c r="G6" i="5" s="1"/>
  <c r="F22" i="4"/>
  <c r="C22" i="4"/>
  <c r="D22" i="4"/>
  <c r="J6" i="5" s="1"/>
  <c r="K21" i="3"/>
  <c r="G5" i="5" s="1"/>
  <c r="I27" i="6"/>
  <c r="E47" i="1"/>
  <c r="J7" i="5" l="1"/>
  <c r="K6" i="5"/>
  <c r="O22" i="4"/>
  <c r="J21" i="3"/>
  <c r="E19" i="3"/>
  <c r="I7" i="5" l="1"/>
  <c r="K7" i="5" s="1"/>
  <c r="F5" i="5"/>
  <c r="F6" i="5"/>
  <c r="H27" i="6"/>
  <c r="J35" i="1"/>
  <c r="J30" i="1"/>
  <c r="J29" i="1"/>
  <c r="J4" i="1"/>
  <c r="J3" i="1"/>
  <c r="J7" i="1"/>
  <c r="J6" i="1"/>
  <c r="J21" i="1"/>
  <c r="F4" i="5" l="1"/>
  <c r="D27" i="6"/>
  <c r="L27" i="6" s="1"/>
  <c r="G27" i="6"/>
  <c r="G21" i="3" l="1"/>
  <c r="H21" i="3"/>
  <c r="I21" i="3"/>
  <c r="F21" i="3"/>
  <c r="E5" i="5" l="1"/>
  <c r="E6" i="5"/>
  <c r="E18" i="3"/>
  <c r="E46" i="1" l="1"/>
  <c r="E45" i="1"/>
  <c r="I25" i="1" l="1"/>
  <c r="I24" i="1"/>
  <c r="I23" i="1"/>
  <c r="I22" i="1"/>
  <c r="I19" i="1"/>
  <c r="I18" i="1"/>
  <c r="I17" i="1"/>
  <c r="I16" i="1"/>
  <c r="I15" i="1"/>
  <c r="I14" i="1"/>
  <c r="I13" i="1"/>
  <c r="I21" i="1" l="1"/>
  <c r="I12" i="1"/>
  <c r="E4" i="5"/>
  <c r="D5" i="5"/>
  <c r="H7" i="5" l="1"/>
  <c r="E12" i="6"/>
  <c r="E13" i="6"/>
  <c r="E14" i="6"/>
  <c r="E19" i="6"/>
  <c r="E20" i="6"/>
  <c r="E21" i="6"/>
  <c r="E23" i="6"/>
  <c r="D6" i="5"/>
  <c r="H25" i="1" l="1"/>
  <c r="H24" i="1"/>
  <c r="H23" i="1"/>
  <c r="H22" i="1"/>
  <c r="H19" i="1"/>
  <c r="H18" i="1"/>
  <c r="H17" i="1"/>
  <c r="H16" i="1"/>
  <c r="H15" i="1"/>
  <c r="H14" i="1"/>
  <c r="H13" i="1"/>
  <c r="E34" i="1"/>
  <c r="H12" i="1" l="1"/>
  <c r="H21" i="1"/>
  <c r="D4" i="5" l="1"/>
  <c r="D7" i="5" s="1"/>
  <c r="G22" i="1"/>
  <c r="G23" i="1"/>
  <c r="G24" i="1"/>
  <c r="G25" i="1"/>
  <c r="F23" i="1"/>
  <c r="F24" i="1"/>
  <c r="F25" i="1"/>
  <c r="F22" i="1"/>
  <c r="C23" i="1"/>
  <c r="C24" i="1"/>
  <c r="C25" i="1"/>
  <c r="E66" i="1"/>
  <c r="E65" i="1"/>
  <c r="E64" i="1"/>
  <c r="G13" i="1"/>
  <c r="G14" i="1"/>
  <c r="G15" i="1"/>
  <c r="G16" i="1"/>
  <c r="G17" i="1"/>
  <c r="G18" i="1"/>
  <c r="G19" i="1"/>
  <c r="F14" i="1"/>
  <c r="F15" i="1"/>
  <c r="F16" i="1"/>
  <c r="F17" i="1"/>
  <c r="F18" i="1"/>
  <c r="F19" i="1"/>
  <c r="F13" i="1"/>
  <c r="C14" i="1"/>
  <c r="C15" i="1"/>
  <c r="C18" i="1"/>
  <c r="C19" i="1"/>
  <c r="C13" i="1"/>
  <c r="E62" i="1"/>
  <c r="E61" i="1"/>
  <c r="E60" i="1"/>
  <c r="E59" i="1"/>
  <c r="E58" i="1"/>
  <c r="E57" i="1"/>
  <c r="E56" i="1"/>
  <c r="C5" i="5" l="1"/>
  <c r="B5" i="5"/>
  <c r="F27" i="6"/>
  <c r="C27" i="6"/>
  <c r="E27" i="6" s="1"/>
  <c r="C6" i="5"/>
  <c r="G21" i="1" l="1"/>
  <c r="G12" i="1"/>
  <c r="C4" i="5" l="1"/>
  <c r="E22" i="1" l="1"/>
  <c r="E23" i="1"/>
  <c r="E24" i="1"/>
  <c r="E25" i="1"/>
  <c r="E13" i="1"/>
  <c r="E14" i="1"/>
  <c r="E15" i="1"/>
  <c r="E16" i="1"/>
  <c r="E17" i="1"/>
  <c r="E18" i="1"/>
  <c r="E19" i="1"/>
  <c r="B6" i="5" l="1"/>
  <c r="E16" i="3"/>
  <c r="E15" i="3"/>
  <c r="B4" i="5"/>
  <c r="B7" i="5" l="1"/>
  <c r="G7" i="5" l="1"/>
  <c r="E5" i="4"/>
  <c r="E7" i="4"/>
  <c r="E8" i="4"/>
  <c r="E9" i="4"/>
  <c r="E11" i="4"/>
  <c r="E12" i="4"/>
  <c r="E13" i="4"/>
  <c r="E16" i="4"/>
  <c r="E17" i="4"/>
  <c r="E18" i="4"/>
  <c r="E19" i="4"/>
  <c r="E20" i="4"/>
  <c r="E21" i="4"/>
  <c r="E4" i="4"/>
  <c r="E22" i="4" l="1"/>
  <c r="E5" i="3" l="1"/>
  <c r="E7" i="3"/>
  <c r="E8" i="3"/>
  <c r="E9" i="3"/>
  <c r="E12" i="3"/>
  <c r="E13" i="3"/>
  <c r="E4" i="3"/>
  <c r="E3" i="1"/>
  <c r="E4" i="1"/>
  <c r="E6" i="1"/>
  <c r="E7" i="1"/>
  <c r="E11" i="1"/>
  <c r="E12" i="1"/>
  <c r="E20" i="1"/>
  <c r="E21" i="1"/>
  <c r="E26" i="1"/>
  <c r="E27" i="1"/>
  <c r="E28" i="1"/>
  <c r="E29" i="1"/>
  <c r="E30" i="1"/>
  <c r="E31" i="1"/>
  <c r="E32" i="1"/>
  <c r="E33" i="1"/>
  <c r="E52" i="1" l="1"/>
  <c r="F7" i="5" l="1"/>
  <c r="E7" i="5"/>
  <c r="C7" i="5"/>
  <c r="E21" i="3"/>
</calcChain>
</file>

<file path=xl/sharedStrings.xml><?xml version="1.0" encoding="utf-8"?>
<sst xmlns="http://schemas.openxmlformats.org/spreadsheetml/2006/main" count="296" uniqueCount="149">
  <si>
    <t>CHAMP</t>
  </si>
  <si>
    <t>MENTION</t>
  </si>
  <si>
    <t>BSS</t>
  </si>
  <si>
    <t>Sciences de la Vie</t>
  </si>
  <si>
    <t>Sciences de la Vie / Sciences de la Terre</t>
  </si>
  <si>
    <t>Sciences de la Vie / Chimie</t>
  </si>
  <si>
    <t>STAPS</t>
  </si>
  <si>
    <t>DSPEG</t>
  </si>
  <si>
    <t>LLAC</t>
  </si>
  <si>
    <t>Arts du Spectacle</t>
  </si>
  <si>
    <t>Sciences de l’Information et de la Communication</t>
  </si>
  <si>
    <t>Langues Etrangères Appliquées (LEA)</t>
  </si>
  <si>
    <t>Lettres</t>
  </si>
  <si>
    <t>Langues, littératures et civilisations étrangères et régionales (LLCER)</t>
  </si>
  <si>
    <t>Musicologie</t>
  </si>
  <si>
    <t>Histoire / Lettres</t>
  </si>
  <si>
    <t>Philosophie/Droit</t>
  </si>
  <si>
    <t>Philosophie/Psychologie</t>
  </si>
  <si>
    <t>Sociologie/Economie</t>
  </si>
  <si>
    <t>SHS</t>
  </si>
  <si>
    <t>Géographie et Aménagement</t>
  </si>
  <si>
    <t>Histoire</t>
  </si>
  <si>
    <t>Psychologie</t>
  </si>
  <si>
    <t>Sociologie</t>
  </si>
  <si>
    <t>SITE</t>
  </si>
  <si>
    <t>Mathématiques / Informatique</t>
  </si>
  <si>
    <t>Mathématiques / Physique</t>
  </si>
  <si>
    <t>Sciences de la Terre / Physique</t>
  </si>
  <si>
    <t>LLAC/DSPEG</t>
  </si>
  <si>
    <t>CAPACITE L1</t>
  </si>
  <si>
    <t>Philosophie</t>
  </si>
  <si>
    <t>Total des vœux 2018</t>
  </si>
  <si>
    <t>Taux / à la capacité</t>
  </si>
  <si>
    <t>TOTAL</t>
  </si>
  <si>
    <t>Total des vœux 2017</t>
  </si>
  <si>
    <t>Variation</t>
  </si>
  <si>
    <t>Sciences de l'Homme, Anthropologie, Ethnologie</t>
  </si>
  <si>
    <t>DOMAINE</t>
  </si>
  <si>
    <t xml:space="preserve"> Information communication Option journalisme</t>
  </si>
  <si>
    <t>Techniques de commercialisation - en apprentissage</t>
  </si>
  <si>
    <t>Carrières sociales Option animation sociale et socio-culturelle</t>
  </si>
  <si>
    <t>Carrières sociales Option éducation spécialisée</t>
  </si>
  <si>
    <t>Qualité, logistique industrielle et organisation</t>
  </si>
  <si>
    <t>Information communication Option communication des organisations</t>
  </si>
  <si>
    <t>Génie électrique et informatique industrielle</t>
  </si>
  <si>
    <t>Génie électrique et informatique industrielle - en apprentissage</t>
  </si>
  <si>
    <t>Informatique</t>
  </si>
  <si>
    <t>Informatique - en apprentissage</t>
  </si>
  <si>
    <t>Gestion des entreprises et des administrations</t>
  </si>
  <si>
    <t>Gestion des entreprises et des administrations - en apprentissage</t>
  </si>
  <si>
    <t>Réseaux et télécommunications</t>
  </si>
  <si>
    <t>CAPACITE</t>
  </si>
  <si>
    <t>Anglais/Allemand</t>
  </si>
  <si>
    <t>Anglais/Arabe</t>
  </si>
  <si>
    <t>Anglais/Chinois</t>
  </si>
  <si>
    <t>Anglais/Espagnol</t>
  </si>
  <si>
    <t>Anglais/Italien</t>
  </si>
  <si>
    <t>Anglais/Portugais</t>
  </si>
  <si>
    <t>Anglais/Russe</t>
  </si>
  <si>
    <t>Allemand</t>
  </si>
  <si>
    <t>Anglais</t>
  </si>
  <si>
    <t>Espagnol</t>
  </si>
  <si>
    <t>Italien</t>
  </si>
  <si>
    <t>Total des vœux 2019</t>
  </si>
  <si>
    <t>Arts du spectacle / Ethnologie</t>
  </si>
  <si>
    <t>Musicologie / Ethnologie</t>
  </si>
  <si>
    <t>Mathématiques / Sciences de la Vie</t>
  </si>
  <si>
    <t xml:space="preserve">Droit / Zertifikat Studien des deutschen und französischen Rechts (Universität des Saarlandes) </t>
  </si>
  <si>
    <t xml:space="preserve">LLCER Allemand / Bachelor of Arts Lehramt Sekundarstufe I (Pädagogische Hochschule Freiburg) </t>
  </si>
  <si>
    <t>Qualité, logistique industrielle et organisation - en apprentissage</t>
  </si>
  <si>
    <t>Diplôme</t>
  </si>
  <si>
    <t>Double licence</t>
  </si>
  <si>
    <t>Total des vœux 2020</t>
  </si>
  <si>
    <t>Portail</t>
  </si>
  <si>
    <t>PASS</t>
  </si>
  <si>
    <t>Economie et Gestion</t>
  </si>
  <si>
    <t>Droit</t>
  </si>
  <si>
    <t>Option</t>
  </si>
  <si>
    <t>L.AS</t>
  </si>
  <si>
    <t>Sciences &amp; Technologie</t>
  </si>
  <si>
    <t>Sciences du langage</t>
  </si>
  <si>
    <t>PASS (ex-PACES)</t>
  </si>
  <si>
    <t>Sciences de la Vie (+Santé)</t>
  </si>
  <si>
    <t>STAPS (+Santé)</t>
  </si>
  <si>
    <t>Droit (+Santé)</t>
  </si>
  <si>
    <t>Economie-Gestion (+Santé)</t>
  </si>
  <si>
    <t>Histoire (+Santé)</t>
  </si>
  <si>
    <t>Psychologie (+Santé)</t>
  </si>
  <si>
    <t>Licence (+PASS)</t>
  </si>
  <si>
    <t>LEA - Anglais/Allemand</t>
  </si>
  <si>
    <t>LEA - Anglais/Arabe</t>
  </si>
  <si>
    <t>LEA - Anglais/Chinois</t>
  </si>
  <si>
    <t>LEA - Anglais/Espagnol</t>
  </si>
  <si>
    <t>LEA - Anglais/Italien</t>
  </si>
  <si>
    <t>LEA - Anglais/Portugais</t>
  </si>
  <si>
    <t>LEA - Anglais/Russe</t>
  </si>
  <si>
    <t>LLCER - Allemand</t>
  </si>
  <si>
    <t>LLCER - Anglais</t>
  </si>
  <si>
    <t>LLCER - Espagnol</t>
  </si>
  <si>
    <t>LLCER - Italien</t>
  </si>
  <si>
    <t>LICENCE : FOCUS LEA - LLCER</t>
  </si>
  <si>
    <t>Total des vœux 2021</t>
  </si>
  <si>
    <t>Lettres (+Santé) (+PPPE)</t>
  </si>
  <si>
    <t>BUT Service</t>
  </si>
  <si>
    <t>BUT Production</t>
  </si>
  <si>
    <t>Techniques de commercialisation (Cannes)</t>
  </si>
  <si>
    <t>Techniques de commercialisation (Nice)</t>
  </si>
  <si>
    <t>Total des vœux 2022</t>
  </si>
  <si>
    <t>Sciences de l'Homme, Anthropologie, Ethnologie (+Santé en 2020 et 2021))</t>
  </si>
  <si>
    <t>Sciences du Langage (+Santé en 2020 et 2021)</t>
  </si>
  <si>
    <t>Sociologie (+Santé en 2020 et 2021)</t>
  </si>
  <si>
    <t>Philosophie (+Santé en 2020 et 2021)</t>
  </si>
  <si>
    <t>Sciences et Technologie (+Santé) (+PPPE en 2022)</t>
  </si>
  <si>
    <t>CPES - Sciences et Sociétés</t>
  </si>
  <si>
    <t>CPES - Humanités, Lettres et Sociétés</t>
  </si>
  <si>
    <t>Licence Droit - parcours double diplôme licence franco-anglais (University of Essex)</t>
  </si>
  <si>
    <t>Total des vœux 2023</t>
  </si>
  <si>
    <t>Licence Droit - Bilingue droit français - droit anglo-saxon</t>
  </si>
  <si>
    <t>BUT</t>
  </si>
  <si>
    <t>Total des vœux 2024</t>
  </si>
  <si>
    <t>Arts du Spectacle - Etudes en danse</t>
  </si>
  <si>
    <t>Arts du Spectacle - Etudes théâtrales</t>
  </si>
  <si>
    <t>Humanités - Arts et Métiers de l'Image</t>
  </si>
  <si>
    <t>Humanités - Sciences de l'Antiquité</t>
  </si>
  <si>
    <t>Chimie</t>
  </si>
  <si>
    <t>Electronique, énergie électrique, automatique</t>
  </si>
  <si>
    <t>Mathématiques</t>
  </si>
  <si>
    <t>Mathématiques et informatique appliquées aux sciences humaines et sociales</t>
  </si>
  <si>
    <t>Physique</t>
  </si>
  <si>
    <t>Portail Mathématiques - Chimie - Informatique - Accès Santé</t>
  </si>
  <si>
    <t>Sciences de la terre</t>
  </si>
  <si>
    <t>Sciences et Humanités - Environnement</t>
  </si>
  <si>
    <t>Sciences et technologies - PPPE</t>
  </si>
  <si>
    <t>Sciences de l'éducation et de la formation</t>
  </si>
  <si>
    <t xml:space="preserve"> Langues étrangères appliquées - Cursus intégré UFA (Université Franco-Allemande)</t>
  </si>
  <si>
    <t>Total des vœux 2025</t>
  </si>
  <si>
    <t>Chimie (+ Santé en 2025)</t>
  </si>
  <si>
    <t>Informatique (+Santé en 2025)</t>
  </si>
  <si>
    <t>Mathématiques (+Santé en 2025)</t>
  </si>
  <si>
    <t>Science des données (ex. Statistique et informatique décisionnelle)</t>
  </si>
  <si>
    <t>Total des vœux 2026</t>
  </si>
  <si>
    <t>INSPE</t>
  </si>
  <si>
    <t>Professorat des écoles (Draguignan)</t>
  </si>
  <si>
    <t>Professorat des écoles (Nice)</t>
  </si>
  <si>
    <t>VŒUX PARCOURSUP CONFIRME au 02/04/2025</t>
  </si>
  <si>
    <t>LICENCE : VŒUX PARCOURSUP CONFIRME au  02/04/2026</t>
  </si>
  <si>
    <t>PASS / L.AS : VŒUX PARCOURSUP CONFIRME au 02/04/2026</t>
  </si>
  <si>
    <t>DOUBLE LICENCE : VŒUX PARCOURSUP CONFIRME au 02/04/2026</t>
  </si>
  <si>
    <t>BUT : VŒUX PARCOURSUP CONFIRME au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</si>
</sst>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1" fontId="0" fillId="0" borderId="1" xfId="0" applyNumberFormat="1" applyFont="1" applyFill="1" applyBorder="1"/>
    <xf numFmtId="9" fontId="0" fillId="0" borderId="1" xfId="1" applyFont="1" applyFill="1" applyBorder="1"/>
    <xf numFmtId="9" fontId="0" fillId="0" borderId="1" xfId="1" applyFont="1" applyBorder="1"/>
    <xf numFmtId="9" fontId="1" fillId="0" borderId="1" xfId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0" fillId="9" borderId="1" xfId="0" applyFill="1" applyBorder="1" applyAlignment="1">
      <alignment wrapText="1"/>
    </xf>
    <xf numFmtId="0" fontId="0" fillId="10" borderId="1" xfId="0" applyFill="1" applyBorder="1"/>
    <xf numFmtId="0" fontId="5" fillId="7" borderId="1" xfId="0" applyFont="1" applyFill="1" applyBorder="1"/>
    <xf numFmtId="0" fontId="0" fillId="7" borderId="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Border="1"/>
    <xf numFmtId="0" fontId="1" fillId="5" borderId="3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4" fillId="0" borderId="4" xfId="0" applyFont="1" applyBorder="1"/>
    <xf numFmtId="0" fontId="5" fillId="0" borderId="2" xfId="0" applyFont="1" applyFill="1" applyBorder="1"/>
    <xf numFmtId="9" fontId="1" fillId="0" borderId="4" xfId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13" borderId="2" xfId="0" applyFill="1" applyBorder="1"/>
    <xf numFmtId="0" fontId="0" fillId="13" borderId="1" xfId="0" applyFill="1" applyBorder="1"/>
    <xf numFmtId="9" fontId="1" fillId="0" borderId="1" xfId="1" applyFont="1" applyBorder="1"/>
    <xf numFmtId="0" fontId="1" fillId="8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wrapText="1"/>
    </xf>
    <xf numFmtId="0" fontId="5" fillId="14" borderId="1" xfId="0" applyFont="1" applyFill="1" applyBorder="1"/>
    <xf numFmtId="1" fontId="0" fillId="14" borderId="1" xfId="0" applyNumberFormat="1" applyFont="1" applyFill="1" applyBorder="1"/>
    <xf numFmtId="9" fontId="0" fillId="14" borderId="1" xfId="1" applyFont="1" applyFill="1" applyBorder="1"/>
    <xf numFmtId="9" fontId="0" fillId="13" borderId="1" xfId="1" applyFont="1" applyFill="1" applyBorder="1"/>
    <xf numFmtId="0" fontId="5" fillId="13" borderId="1" xfId="0" applyFont="1" applyFill="1" applyBorder="1"/>
    <xf numFmtId="0" fontId="0" fillId="15" borderId="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wrapText="1"/>
    </xf>
    <xf numFmtId="9" fontId="0" fillId="13" borderId="2" xfId="1" applyFont="1" applyFill="1" applyBorder="1" applyAlignment="1">
      <alignment vertical="center"/>
    </xf>
    <xf numFmtId="9" fontId="0" fillId="13" borderId="1" xfId="1" applyFont="1" applyFill="1" applyBorder="1" applyAlignment="1">
      <alignment vertical="center"/>
    </xf>
    <xf numFmtId="0" fontId="0" fillId="13" borderId="1" xfId="0" applyFont="1" applyFill="1" applyBorder="1"/>
    <xf numFmtId="0" fontId="0" fillId="13" borderId="2" xfId="0" applyFont="1" applyFill="1" applyBorder="1"/>
    <xf numFmtId="9" fontId="0" fillId="13" borderId="2" xfId="1" applyFont="1" applyFill="1" applyBorder="1"/>
    <xf numFmtId="9" fontId="0" fillId="10" borderId="1" xfId="1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2" borderId="2" xfId="0" applyFill="1" applyBorder="1"/>
    <xf numFmtId="1" fontId="1" fillId="0" borderId="1" xfId="0" applyNumberFormat="1" applyFont="1" applyBorder="1"/>
    <xf numFmtId="1" fontId="0" fillId="0" borderId="1" xfId="0" applyNumberFormat="1" applyBorder="1"/>
    <xf numFmtId="0" fontId="4" fillId="0" borderId="1" xfId="0" applyFont="1" applyBorder="1"/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5" fillId="1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DOUBLE LICENCE : VŒUX PARCOURSUP CONFIRME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'DOUBLE LICENCE'!$F$2</c:f>
              <c:strCache>
                <c:ptCount val="1"/>
                <c:pt idx="0">
                  <c:v>Total des vœux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  <c:pt idx="11">
                  <c:v> Langues étrangères appliquées - Cursus intégré UFA (Université Franco-Allemande)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LICENCE'!$F$4:$F$18</c15:sqref>
                  </c15:fullRef>
                </c:ext>
              </c:extLst>
              <c:f>('DOUBLE LICENCE'!$F$4:$F$5,'DOUBLE LICENCE'!$F$7:$F$9,'DOUBLE LICENCE'!$F$12:$F$13,'DOUBLE LICENCE'!$F$15:$F$16,'DOUBLE LICENCE'!$F$18)</c:f>
              <c:numCache>
                <c:formatCode>General</c:formatCode>
                <c:ptCount val="10"/>
                <c:pt idx="0">
                  <c:v>543</c:v>
                </c:pt>
                <c:pt idx="1">
                  <c:v>693</c:v>
                </c:pt>
                <c:pt idx="2">
                  <c:v>321</c:v>
                </c:pt>
                <c:pt idx="3">
                  <c:v>676</c:v>
                </c:pt>
                <c:pt idx="4">
                  <c:v>864</c:v>
                </c:pt>
                <c:pt idx="5">
                  <c:v>768</c:v>
                </c:pt>
                <c:pt idx="6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D-4841-B210-F111C05A9360}"/>
            </c:ext>
          </c:extLst>
        </c:ser>
        <c:ser>
          <c:idx val="1"/>
          <c:order val="1"/>
          <c:tx>
            <c:strRef>
              <c:f>'DOUBLE LICENCE'!$G$2:$G$3</c:f>
              <c:strCache>
                <c:ptCount val="2"/>
                <c:pt idx="0">
                  <c:v>Total des vœux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  <c:pt idx="11">
                  <c:v> Langues étrangères appliquées - Cursus intégré UFA (Université Franco-Allemande)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LICENCE'!$G$4:$G$18</c15:sqref>
                  </c15:fullRef>
                </c:ext>
              </c:extLst>
              <c:f>('DOUBLE LICENCE'!$G$4:$G$5,'DOUBLE LICENCE'!$G$7:$G$9,'DOUBLE LICENCE'!$G$12:$G$13,'DOUBLE LICENCE'!$G$15:$G$16,'DOUBLE LICENCE'!$G$18)</c:f>
              <c:numCache>
                <c:formatCode>General</c:formatCode>
                <c:ptCount val="10"/>
                <c:pt idx="0">
                  <c:v>775</c:v>
                </c:pt>
                <c:pt idx="1">
                  <c:v>1042</c:v>
                </c:pt>
                <c:pt idx="2">
                  <c:v>378</c:v>
                </c:pt>
                <c:pt idx="3">
                  <c:v>964</c:v>
                </c:pt>
                <c:pt idx="4">
                  <c:v>1097</c:v>
                </c:pt>
                <c:pt idx="5">
                  <c:v>905</c:v>
                </c:pt>
                <c:pt idx="6">
                  <c:v>1021</c:v>
                </c:pt>
                <c:pt idx="7">
                  <c:v>440</c:v>
                </c:pt>
                <c:pt idx="8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950-A36B-F427DA1236FB}"/>
            </c:ext>
          </c:extLst>
        </c:ser>
        <c:ser>
          <c:idx val="3"/>
          <c:order val="2"/>
          <c:tx>
            <c:strRef>
              <c:f>'DOUBLE LICENCE'!$H$2:$H$3</c:f>
              <c:strCache>
                <c:ptCount val="2"/>
                <c:pt idx="0">
                  <c:v>Total des vœux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  <c:pt idx="11">
                  <c:v> Langues étrangères appliquées - Cursus intégré UFA (Université Franco-Allemande)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LICENCE'!$H$4:$H$18</c15:sqref>
                  </c15:fullRef>
                </c:ext>
              </c:extLst>
              <c:f>('DOUBLE LICENCE'!$H$4:$H$5,'DOUBLE LICENCE'!$H$7:$H$9,'DOUBLE LICENCE'!$H$12:$H$13,'DOUBLE LICENCE'!$H$15:$H$16,'DOUBLE LICENCE'!$H$18)</c:f>
              <c:numCache>
                <c:formatCode>General</c:formatCode>
                <c:ptCount val="10"/>
                <c:pt idx="0">
                  <c:v>519</c:v>
                </c:pt>
                <c:pt idx="1">
                  <c:v>700</c:v>
                </c:pt>
                <c:pt idx="2">
                  <c:v>287</c:v>
                </c:pt>
                <c:pt idx="3">
                  <c:v>712</c:v>
                </c:pt>
                <c:pt idx="4">
                  <c:v>844</c:v>
                </c:pt>
                <c:pt idx="5">
                  <c:v>643</c:v>
                </c:pt>
                <c:pt idx="6">
                  <c:v>898</c:v>
                </c:pt>
                <c:pt idx="7">
                  <c:v>420</c:v>
                </c:pt>
                <c:pt idx="8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8-4F3C-9CB2-9548D8753F2C}"/>
            </c:ext>
          </c:extLst>
        </c:ser>
        <c:ser>
          <c:idx val="4"/>
          <c:order val="3"/>
          <c:tx>
            <c:strRef>
              <c:f>'DOUBLE LICENCE'!$I$2:$I$3</c:f>
              <c:strCache>
                <c:ptCount val="2"/>
                <c:pt idx="0">
                  <c:v>Total des vœux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  <c:pt idx="11">
                  <c:v> Langues étrangères appliquées - Cursus intégré UFA (Université Franco-Allemande)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LICENCE'!$I$4:$I$18</c15:sqref>
                  </c15:fullRef>
                </c:ext>
              </c:extLst>
              <c:f>('DOUBLE LICENCE'!$I$4:$I$5,'DOUBLE LICENCE'!$I$7:$I$9,'DOUBLE LICENCE'!$I$12:$I$13,'DOUBLE LICENCE'!$I$15:$I$16,'DOUBLE LICENCE'!$I$18)</c:f>
              <c:numCache>
                <c:formatCode>General</c:formatCode>
                <c:ptCount val="10"/>
                <c:pt idx="0">
                  <c:v>879</c:v>
                </c:pt>
                <c:pt idx="1">
                  <c:v>989</c:v>
                </c:pt>
                <c:pt idx="2">
                  <c:v>389</c:v>
                </c:pt>
                <c:pt idx="3">
                  <c:v>887</c:v>
                </c:pt>
                <c:pt idx="4">
                  <c:v>1370</c:v>
                </c:pt>
                <c:pt idx="5">
                  <c:v>724</c:v>
                </c:pt>
                <c:pt idx="6">
                  <c:v>1228</c:v>
                </c:pt>
                <c:pt idx="7">
                  <c:v>292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BFE-BF1D-27D5E44D7072}"/>
            </c:ext>
          </c:extLst>
        </c:ser>
        <c:ser>
          <c:idx val="5"/>
          <c:order val="4"/>
          <c:tx>
            <c:strRef>
              <c:f>'DOUBLE LICENCE'!$J$2:$J$3</c:f>
              <c:strCache>
                <c:ptCount val="2"/>
                <c:pt idx="0">
                  <c:v>Total des vœux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  <c:pt idx="11">
                  <c:v> Langues étrangères appliquées - Cursus intégré UFA (Université Franco-Allemande)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LICENCE'!$J$4:$J$19</c15:sqref>
                  </c15:fullRef>
                </c:ext>
              </c:extLst>
              <c:f>('DOUBLE LICENCE'!$J$4:$J$5,'DOUBLE LICENCE'!$J$7:$J$9,'DOUBLE LICENCE'!$J$12:$J$13,'DOUBLE LICENCE'!$J$15:$J$16,'DOUBLE LICENCE'!$J$18:$J$19)</c:f>
              <c:numCache>
                <c:formatCode>General</c:formatCode>
                <c:ptCount val="11"/>
                <c:pt idx="0">
                  <c:v>618</c:v>
                </c:pt>
                <c:pt idx="1">
                  <c:v>786</c:v>
                </c:pt>
                <c:pt idx="2">
                  <c:v>395</c:v>
                </c:pt>
                <c:pt idx="3">
                  <c:v>1011</c:v>
                </c:pt>
                <c:pt idx="4">
                  <c:v>1050</c:v>
                </c:pt>
                <c:pt idx="5">
                  <c:v>805</c:v>
                </c:pt>
                <c:pt idx="6">
                  <c:v>1235</c:v>
                </c:pt>
                <c:pt idx="7">
                  <c:v>354</c:v>
                </c:pt>
                <c:pt idx="8">
                  <c:v>61</c:v>
                </c:pt>
                <c:pt idx="9">
                  <c:v>280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F8D-9F4E-6DC9B6962FBF}"/>
            </c:ext>
          </c:extLst>
        </c:ser>
        <c:ser>
          <c:idx val="6"/>
          <c:order val="5"/>
          <c:tx>
            <c:strRef>
              <c:f>'DOUBLE LICENCE'!$L$2:$L$3</c:f>
              <c:strCache>
                <c:ptCount val="2"/>
                <c:pt idx="0">
                  <c:v>Total des vœux 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LICENCE'!$L$4:$L$20</c15:sqref>
                  </c15:fullRef>
                </c:ext>
              </c:extLst>
              <c:f>('DOUBLE LICENCE'!$L$4:$L$5,'DOUBLE LICENCE'!$L$7:$L$9,'DOUBLE LICENCE'!$L$12:$L$13,'DOUBLE LICENCE'!$L$15:$L$16,'DOUBLE LICENCE'!$L$18:$L$19)</c:f>
              <c:numCache>
                <c:formatCode>General</c:formatCode>
                <c:ptCount val="11"/>
                <c:pt idx="0">
                  <c:v>630</c:v>
                </c:pt>
                <c:pt idx="1">
                  <c:v>798</c:v>
                </c:pt>
                <c:pt idx="2">
                  <c:v>364</c:v>
                </c:pt>
                <c:pt idx="3">
                  <c:v>1144</c:v>
                </c:pt>
                <c:pt idx="4">
                  <c:v>1598</c:v>
                </c:pt>
                <c:pt idx="5">
                  <c:v>754</c:v>
                </c:pt>
                <c:pt idx="6">
                  <c:v>1453</c:v>
                </c:pt>
                <c:pt idx="7">
                  <c:v>357</c:v>
                </c:pt>
                <c:pt idx="8">
                  <c:v>63</c:v>
                </c:pt>
                <c:pt idx="9">
                  <c:v>371</c:v>
                </c:pt>
                <c:pt idx="10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C-4A15-ACDB-85356467D510}"/>
            </c:ext>
          </c:extLst>
        </c:ser>
        <c:ser>
          <c:idx val="7"/>
          <c:order val="6"/>
          <c:tx>
            <c:strRef>
              <c:f>'DOUBLE LICENCE'!$M$2:$M$3</c:f>
              <c:strCache>
                <c:ptCount val="2"/>
                <c:pt idx="0">
                  <c:v>Total des vœux 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LICENCE'!$M$4:$M$20</c15:sqref>
                  </c15:fullRef>
                </c:ext>
              </c:extLst>
              <c:f>('DOUBLE LICENCE'!$M$4:$M$5,'DOUBLE LICENCE'!$M$7:$M$9,'DOUBLE LICENCE'!$M$12:$M$13,'DOUBLE LICENCE'!$M$15:$M$16,'DOUBLE LICENCE'!$M$18:$M$19)</c:f>
              <c:numCache>
                <c:formatCode>General</c:formatCode>
                <c:ptCount val="11"/>
                <c:pt idx="0">
                  <c:v>671</c:v>
                </c:pt>
                <c:pt idx="1">
                  <c:v>849</c:v>
                </c:pt>
                <c:pt idx="2">
                  <c:v>464</c:v>
                </c:pt>
                <c:pt idx="3">
                  <c:v>1187</c:v>
                </c:pt>
                <c:pt idx="4">
                  <c:v>1444</c:v>
                </c:pt>
                <c:pt idx="5">
                  <c:v>926</c:v>
                </c:pt>
                <c:pt idx="6">
                  <c:v>1638</c:v>
                </c:pt>
                <c:pt idx="7">
                  <c:v>396</c:v>
                </c:pt>
                <c:pt idx="8">
                  <c:v>55</c:v>
                </c:pt>
                <c:pt idx="9">
                  <c:v>498</c:v>
                </c:pt>
                <c:pt idx="10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3-427F-B4F6-50EC193FE339}"/>
            </c:ext>
          </c:extLst>
        </c:ser>
        <c:ser>
          <c:idx val="0"/>
          <c:order val="7"/>
          <c:tx>
            <c:strRef>
              <c:f>'DOUBLE LICENCE'!$D$2</c:f>
              <c:strCache>
                <c:ptCount val="1"/>
                <c:pt idx="0">
                  <c:v>Total des vœux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'DOUBLE LICENCE'!$B$4:$B$20</c15:sqref>
                  </c15:fullRef>
                </c:ext>
              </c:extLst>
              <c:f>('DOUBLE LICENCE'!$B$4:$B$5,'DOUBLE LICENCE'!$B$7:$B$9,'DOUBLE LICENCE'!$B$12:$B$13,'DOUBLE LICENCE'!$B$15:$B$16,'DOUBLE LICENCE'!$B$18:$B$19)</c:f>
              <c:strCache>
                <c:ptCount val="11"/>
                <c:pt idx="0">
                  <c:v>Sciences de la Vie / Sciences de la Terre</c:v>
                </c:pt>
                <c:pt idx="1">
                  <c:v>Sciences de la Vie / Chimie</c:v>
                </c:pt>
                <c:pt idx="2">
                  <c:v>Philosophie/Droit</c:v>
                </c:pt>
                <c:pt idx="3">
                  <c:v>Philosophie/Psychologie</c:v>
                </c:pt>
                <c:pt idx="4">
                  <c:v>Sociologie/Economie</c:v>
                </c:pt>
                <c:pt idx="5">
                  <c:v>Mathématiques / Informatique</c:v>
                </c:pt>
                <c:pt idx="6">
                  <c:v>Mathématiques / Physique</c:v>
                </c:pt>
                <c:pt idx="7">
                  <c:v>Mathématiques / Sciences de la Vie</c:v>
                </c:pt>
                <c:pt idx="8">
                  <c:v>Droit / Zertifikat Studien des deutschen und französischen Rechts (Universität des Saarlandes) </c:v>
                </c:pt>
                <c:pt idx="9">
                  <c:v>Licence Droit - parcours double diplôme licence franco-anglais (University of Essex)</c:v>
                </c:pt>
                <c:pt idx="10">
                  <c:v>Licence Droit - Bilingue droit français - droit anglo-saxon</c:v>
                </c:pt>
                <c:pt idx="11">
                  <c:v> Langues étrangères appliquées - Cursus intégré UFA (Université Franco-Allemande)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'DOUBLE LICENCE'!$D$4:$D$19</c15:sqref>
                  </c15:fullRef>
                </c:ext>
              </c:extLst>
              <c:f>('DOUBLE LICENCE'!$D$4:$D$5,'DOUBLE LICENCE'!$D$7:$D$9,'DOUBLE LICENCE'!$D$12:$D$13,'DOUBLE LICENCE'!$D$15:$D$16,'DOUBLE LICENCE'!$D$18:$D$19)</c:f>
              <c:numCache>
                <c:formatCode>General</c:formatCode>
                <c:ptCount val="11"/>
                <c:pt idx="0">
                  <c:v>651</c:v>
                </c:pt>
                <c:pt idx="1">
                  <c:v>803</c:v>
                </c:pt>
                <c:pt idx="2">
                  <c:v>418</c:v>
                </c:pt>
                <c:pt idx="3">
                  <c:v>931</c:v>
                </c:pt>
                <c:pt idx="4">
                  <c:v>1609</c:v>
                </c:pt>
                <c:pt idx="5">
                  <c:v>885</c:v>
                </c:pt>
                <c:pt idx="6">
                  <c:v>1666</c:v>
                </c:pt>
                <c:pt idx="7">
                  <c:v>385</c:v>
                </c:pt>
                <c:pt idx="8">
                  <c:v>56</c:v>
                </c:pt>
                <c:pt idx="9">
                  <c:v>388</c:v>
                </c:pt>
                <c:pt idx="10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D-4841-B210-F111C05A9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227200"/>
        <c:axId val="456219984"/>
        <c:extLst/>
      </c:barChart>
      <c:catAx>
        <c:axId val="45622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219984"/>
        <c:crosses val="autoZero"/>
        <c:auto val="1"/>
        <c:lblAlgn val="ctr"/>
        <c:lblOffset val="100"/>
        <c:noMultiLvlLbl val="0"/>
      </c:catAx>
      <c:valAx>
        <c:axId val="45621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22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BUT : VŒUX PARCOURSUP CONFIRME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BUT!$F$2</c:f>
              <c:strCache>
                <c:ptCount val="1"/>
                <c:pt idx="0">
                  <c:v>Total des vœux 2017</c:v>
                </c:pt>
              </c:strCache>
              <c:extLst xmlns:c15="http://schemas.microsoft.com/office/drawing/2012/chart"/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BUT!$F$4:$F$21</c15:sqref>
                  </c15:fullRef>
                </c:ext>
              </c:extLst>
              <c:f>(BUT!$F$4:$F$5,BUT!$F$7:$F$9,BUT!$F$11:$F$13,BUT!$F$15:$F$21)</c:f>
              <c:numCache>
                <c:formatCode>General</c:formatCode>
                <c:ptCount val="15"/>
                <c:pt idx="0">
                  <c:v>1623</c:v>
                </c:pt>
                <c:pt idx="1">
                  <c:v>1460</c:v>
                </c:pt>
                <c:pt idx="2">
                  <c:v>372</c:v>
                </c:pt>
                <c:pt idx="3">
                  <c:v>706</c:v>
                </c:pt>
                <c:pt idx="4">
                  <c:v>307</c:v>
                </c:pt>
                <c:pt idx="5">
                  <c:v>327</c:v>
                </c:pt>
                <c:pt idx="6">
                  <c:v>955</c:v>
                </c:pt>
                <c:pt idx="7">
                  <c:v>672</c:v>
                </c:pt>
                <c:pt idx="8">
                  <c:v>1192</c:v>
                </c:pt>
                <c:pt idx="9">
                  <c:v>252</c:v>
                </c:pt>
                <c:pt idx="10">
                  <c:v>2228</c:v>
                </c:pt>
                <c:pt idx="11">
                  <c:v>492</c:v>
                </c:pt>
                <c:pt idx="12">
                  <c:v>2128</c:v>
                </c:pt>
                <c:pt idx="13">
                  <c:v>538</c:v>
                </c:pt>
                <c:pt idx="14">
                  <c:v>241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34A-4940-B43E-0487C01EDA37}"/>
            </c:ext>
          </c:extLst>
        </c:ser>
        <c:ser>
          <c:idx val="2"/>
          <c:order val="1"/>
          <c:tx>
            <c:strRef>
              <c:f>BUT!$G$2</c:f>
              <c:strCache>
                <c:ptCount val="1"/>
                <c:pt idx="0">
                  <c:v>Total des vœux 2018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BUT!$G$4:$G$21</c15:sqref>
                  </c15:fullRef>
                </c:ext>
              </c:extLst>
              <c:f>(BUT!$G$4:$G$5,BUT!$G$7:$G$9,BUT!$G$11:$G$13,BUT!$G$15:$G$21)</c:f>
              <c:numCache>
                <c:formatCode>General</c:formatCode>
                <c:ptCount val="15"/>
                <c:pt idx="0">
                  <c:v>1866</c:v>
                </c:pt>
                <c:pt idx="1">
                  <c:v>2094</c:v>
                </c:pt>
                <c:pt idx="2">
                  <c:v>525</c:v>
                </c:pt>
                <c:pt idx="3">
                  <c:v>1062</c:v>
                </c:pt>
                <c:pt idx="4">
                  <c:v>380</c:v>
                </c:pt>
                <c:pt idx="5">
                  <c:v>542</c:v>
                </c:pt>
                <c:pt idx="6">
                  <c:v>1414</c:v>
                </c:pt>
                <c:pt idx="7">
                  <c:v>846</c:v>
                </c:pt>
                <c:pt idx="8">
                  <c:v>1630</c:v>
                </c:pt>
                <c:pt idx="9">
                  <c:v>640</c:v>
                </c:pt>
                <c:pt idx="10">
                  <c:v>3338</c:v>
                </c:pt>
                <c:pt idx="11">
                  <c:v>1072</c:v>
                </c:pt>
                <c:pt idx="12">
                  <c:v>3266</c:v>
                </c:pt>
                <c:pt idx="13">
                  <c:v>873</c:v>
                </c:pt>
                <c:pt idx="14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4A-4940-B43E-0487C01EDA37}"/>
            </c:ext>
          </c:extLst>
        </c:ser>
        <c:ser>
          <c:idx val="3"/>
          <c:order val="2"/>
          <c:tx>
            <c:strRef>
              <c:f>BUT!$H$2</c:f>
              <c:strCache>
                <c:ptCount val="1"/>
                <c:pt idx="0">
                  <c:v>Total des vœux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BUT!$H$4:$H$21</c15:sqref>
                  </c15:fullRef>
                </c:ext>
              </c:extLst>
              <c:f>(BUT!$H$4:$H$5,BUT!$H$7:$H$9,BUT!$H$11:$H$13,BUT!$H$15:$H$21)</c:f>
              <c:numCache>
                <c:formatCode>General</c:formatCode>
                <c:ptCount val="15"/>
                <c:pt idx="0">
                  <c:v>1966</c:v>
                </c:pt>
                <c:pt idx="1">
                  <c:v>2039</c:v>
                </c:pt>
                <c:pt idx="2">
                  <c:v>517</c:v>
                </c:pt>
                <c:pt idx="3">
                  <c:v>1180</c:v>
                </c:pt>
                <c:pt idx="4">
                  <c:v>373</c:v>
                </c:pt>
                <c:pt idx="5">
                  <c:v>534</c:v>
                </c:pt>
                <c:pt idx="6">
                  <c:v>1485</c:v>
                </c:pt>
                <c:pt idx="7">
                  <c:v>834</c:v>
                </c:pt>
                <c:pt idx="8">
                  <c:v>1376</c:v>
                </c:pt>
                <c:pt idx="9">
                  <c:v>463</c:v>
                </c:pt>
                <c:pt idx="10">
                  <c:v>3171</c:v>
                </c:pt>
                <c:pt idx="11">
                  <c:v>920</c:v>
                </c:pt>
                <c:pt idx="12">
                  <c:v>3414</c:v>
                </c:pt>
                <c:pt idx="13">
                  <c:v>898</c:v>
                </c:pt>
                <c:pt idx="14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0-4ED4-9816-FACF97489A91}"/>
            </c:ext>
          </c:extLst>
        </c:ser>
        <c:ser>
          <c:idx val="4"/>
          <c:order val="3"/>
          <c:tx>
            <c:strRef>
              <c:f>BUT!$I$2</c:f>
              <c:strCache>
                <c:ptCount val="1"/>
                <c:pt idx="0">
                  <c:v>Total des vœux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BUT!$I$4:$I$21</c15:sqref>
                  </c15:fullRef>
                </c:ext>
              </c:extLst>
              <c:f>(BUT!$I$4:$I$5,BUT!$I$7:$I$9,BUT!$I$11:$I$13,BUT!$I$15:$I$21)</c:f>
              <c:numCache>
                <c:formatCode>General</c:formatCode>
                <c:ptCount val="15"/>
                <c:pt idx="0">
                  <c:v>1542</c:v>
                </c:pt>
                <c:pt idx="1">
                  <c:v>2404</c:v>
                </c:pt>
                <c:pt idx="2">
                  <c:v>379</c:v>
                </c:pt>
                <c:pt idx="3">
                  <c:v>759</c:v>
                </c:pt>
                <c:pt idx="4">
                  <c:v>436</c:v>
                </c:pt>
                <c:pt idx="5">
                  <c:v>512</c:v>
                </c:pt>
                <c:pt idx="6">
                  <c:v>1603</c:v>
                </c:pt>
                <c:pt idx="7">
                  <c:v>1073</c:v>
                </c:pt>
                <c:pt idx="8">
                  <c:v>1249</c:v>
                </c:pt>
                <c:pt idx="9">
                  <c:v>271</c:v>
                </c:pt>
                <c:pt idx="10">
                  <c:v>2969</c:v>
                </c:pt>
                <c:pt idx="11">
                  <c:v>797</c:v>
                </c:pt>
                <c:pt idx="12">
                  <c:v>3509</c:v>
                </c:pt>
                <c:pt idx="13">
                  <c:v>914</c:v>
                </c:pt>
                <c:pt idx="14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6-4709-97FC-CA909FB0696F}"/>
            </c:ext>
          </c:extLst>
        </c:ser>
        <c:ser>
          <c:idx val="5"/>
          <c:order val="4"/>
          <c:tx>
            <c:strRef>
              <c:f>BUT!$J$2</c:f>
              <c:strCache>
                <c:ptCount val="1"/>
                <c:pt idx="0">
                  <c:v>Total des vœux 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BUT!$J$4:$J$21</c15:sqref>
                  </c15:fullRef>
                </c:ext>
              </c:extLst>
              <c:f>(BUT!$J$4:$J$5,BUT!$J$7:$J$9,BUT!$J$11:$J$13,BUT!$J$15:$J$21)</c:f>
              <c:numCache>
                <c:formatCode>General</c:formatCode>
                <c:ptCount val="15"/>
                <c:pt idx="0">
                  <c:v>2215</c:v>
                </c:pt>
                <c:pt idx="1">
                  <c:v>1970</c:v>
                </c:pt>
                <c:pt idx="2">
                  <c:v>457</c:v>
                </c:pt>
                <c:pt idx="3">
                  <c:v>1009</c:v>
                </c:pt>
                <c:pt idx="4">
                  <c:v>394</c:v>
                </c:pt>
                <c:pt idx="5">
                  <c:v>559</c:v>
                </c:pt>
                <c:pt idx="6">
                  <c:v>1593</c:v>
                </c:pt>
                <c:pt idx="7">
                  <c:v>771</c:v>
                </c:pt>
                <c:pt idx="8">
                  <c:v>1318</c:v>
                </c:pt>
                <c:pt idx="9">
                  <c:v>419</c:v>
                </c:pt>
                <c:pt idx="10">
                  <c:v>2752</c:v>
                </c:pt>
                <c:pt idx="11">
                  <c:v>1031</c:v>
                </c:pt>
                <c:pt idx="12">
                  <c:v>3814</c:v>
                </c:pt>
                <c:pt idx="13">
                  <c:v>1245</c:v>
                </c:pt>
                <c:pt idx="14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8-43A0-AE5C-198068C0BD26}"/>
            </c:ext>
          </c:extLst>
        </c:ser>
        <c:ser>
          <c:idx val="6"/>
          <c:order val="5"/>
          <c:tx>
            <c:strRef>
              <c:f>BUT!$K$2</c:f>
              <c:strCache>
                <c:ptCount val="1"/>
                <c:pt idx="0">
                  <c:v>Total des vœux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BUT!$K$4:$K$21</c15:sqref>
                  </c15:fullRef>
                </c:ext>
              </c:extLst>
              <c:f>(BUT!$K$4:$K$5,BUT!$K$7:$K$9,BUT!$K$11:$K$13,BUT!$K$15:$K$21)</c:f>
              <c:numCache>
                <c:formatCode>General</c:formatCode>
                <c:ptCount val="15"/>
                <c:pt idx="0">
                  <c:v>2088</c:v>
                </c:pt>
                <c:pt idx="1">
                  <c:v>2310</c:v>
                </c:pt>
                <c:pt idx="2">
                  <c:v>321</c:v>
                </c:pt>
                <c:pt idx="3">
                  <c:v>740</c:v>
                </c:pt>
                <c:pt idx="4">
                  <c:v>431</c:v>
                </c:pt>
                <c:pt idx="5">
                  <c:v>725</c:v>
                </c:pt>
                <c:pt idx="6">
                  <c:v>1962</c:v>
                </c:pt>
                <c:pt idx="7">
                  <c:v>754</c:v>
                </c:pt>
                <c:pt idx="8">
                  <c:v>1274</c:v>
                </c:pt>
                <c:pt idx="9">
                  <c:v>394</c:v>
                </c:pt>
                <c:pt idx="10">
                  <c:v>3055</c:v>
                </c:pt>
                <c:pt idx="11">
                  <c:v>1112</c:v>
                </c:pt>
                <c:pt idx="12">
                  <c:v>3687</c:v>
                </c:pt>
                <c:pt idx="13">
                  <c:v>1349</c:v>
                </c:pt>
                <c:pt idx="14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B-4BE0-8852-1FE1D9FD514A}"/>
            </c:ext>
          </c:extLst>
        </c:ser>
        <c:ser>
          <c:idx val="7"/>
          <c:order val="6"/>
          <c:tx>
            <c:strRef>
              <c:f>BUT!$M$2</c:f>
              <c:strCache>
                <c:ptCount val="1"/>
                <c:pt idx="0">
                  <c:v>Total des vœux 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BUT!$M$4:$M$21</c15:sqref>
                  </c15:fullRef>
                </c:ext>
              </c:extLst>
              <c:f>(BUT!$M$4:$M$5,BUT!$M$7:$M$9,BUT!$M$11:$M$13,BUT!$M$15:$M$21)</c:f>
              <c:numCache>
                <c:formatCode>General</c:formatCode>
                <c:ptCount val="15"/>
                <c:pt idx="0">
                  <c:v>2065</c:v>
                </c:pt>
                <c:pt idx="1">
                  <c:v>2515</c:v>
                </c:pt>
                <c:pt idx="2">
                  <c:v>327</c:v>
                </c:pt>
                <c:pt idx="3">
                  <c:v>531</c:v>
                </c:pt>
                <c:pt idx="4">
                  <c:v>626</c:v>
                </c:pt>
                <c:pt idx="5">
                  <c:v>773</c:v>
                </c:pt>
                <c:pt idx="6">
                  <c:v>1664</c:v>
                </c:pt>
                <c:pt idx="7">
                  <c:v>757</c:v>
                </c:pt>
                <c:pt idx="8">
                  <c:v>1389</c:v>
                </c:pt>
                <c:pt idx="9">
                  <c:v>527</c:v>
                </c:pt>
                <c:pt idx="10">
                  <c:v>3792</c:v>
                </c:pt>
                <c:pt idx="11">
                  <c:v>1865</c:v>
                </c:pt>
                <c:pt idx="12">
                  <c:v>4040</c:v>
                </c:pt>
                <c:pt idx="13">
                  <c:v>1962</c:v>
                </c:pt>
                <c:pt idx="14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A-4AE4-BAAF-267A80D1CECF}"/>
            </c:ext>
          </c:extLst>
        </c:ser>
        <c:ser>
          <c:idx val="8"/>
          <c:order val="7"/>
          <c:tx>
            <c:strRef>
              <c:f>BUT!$N$2</c:f>
              <c:strCache>
                <c:ptCount val="1"/>
                <c:pt idx="0">
                  <c:v>Total des vœux 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BUT!$N$4:$N$21</c15:sqref>
                  </c15:fullRef>
                </c:ext>
              </c:extLst>
              <c:f>(BUT!$N$4:$N$5,BUT!$N$7:$N$9,BUT!$N$11:$N$13,BUT!$N$15:$N$21)</c:f>
              <c:numCache>
                <c:formatCode>General</c:formatCode>
                <c:ptCount val="15"/>
                <c:pt idx="0">
                  <c:v>2562</c:v>
                </c:pt>
                <c:pt idx="1">
                  <c:v>2887</c:v>
                </c:pt>
                <c:pt idx="2">
                  <c:v>329</c:v>
                </c:pt>
                <c:pt idx="3">
                  <c:v>625</c:v>
                </c:pt>
                <c:pt idx="4">
                  <c:v>649</c:v>
                </c:pt>
                <c:pt idx="5">
                  <c:v>680</c:v>
                </c:pt>
                <c:pt idx="6">
                  <c:v>1569</c:v>
                </c:pt>
                <c:pt idx="7">
                  <c:v>901</c:v>
                </c:pt>
                <c:pt idx="8">
                  <c:v>1558</c:v>
                </c:pt>
                <c:pt idx="9">
                  <c:v>556</c:v>
                </c:pt>
                <c:pt idx="10">
                  <c:v>4563</c:v>
                </c:pt>
                <c:pt idx="11">
                  <c:v>2476</c:v>
                </c:pt>
                <c:pt idx="12">
                  <c:v>4547</c:v>
                </c:pt>
                <c:pt idx="13">
                  <c:v>2662</c:v>
                </c:pt>
                <c:pt idx="14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5-43E1-809A-234B044811CB}"/>
            </c:ext>
          </c:extLst>
        </c:ser>
        <c:ser>
          <c:idx val="0"/>
          <c:order val="8"/>
          <c:tx>
            <c:strRef>
              <c:f>BUT!$D$2</c:f>
              <c:strCache>
                <c:ptCount val="1"/>
                <c:pt idx="0">
                  <c:v>Total des vœux 2026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BUT!$B$4:$B$21</c15:sqref>
                  </c15:fullRef>
                </c:ext>
              </c:extLst>
              <c:f>(BUT!$B$4:$B$5,BUT!$B$7:$B$9,BUT!$B$11:$B$13,BUT!$B$15:$B$21)</c:f>
              <c:strCache>
                <c:ptCount val="15"/>
                <c:pt idx="0">
                  <c:v> Information communication Option journalisme</c:v>
                </c:pt>
                <c:pt idx="1">
                  <c:v>Techniques de commercialisation (Cannes)</c:v>
                </c:pt>
                <c:pt idx="2">
                  <c:v>Carrières sociales Option animation sociale et socio-culturelle</c:v>
                </c:pt>
                <c:pt idx="3">
                  <c:v>Carrières sociales Option éducation spécialisée</c:v>
                </c:pt>
                <c:pt idx="4">
                  <c:v>Qualité, logistique industrielle et organisation</c:v>
                </c:pt>
                <c:pt idx="5">
                  <c:v>Réseaux et télécommunications</c:v>
                </c:pt>
                <c:pt idx="6">
                  <c:v>Information communication Option communication des organisations</c:v>
                </c:pt>
                <c:pt idx="7">
                  <c:v>Génie électrique et informatique industrielle</c:v>
                </c:pt>
                <c:pt idx="8">
                  <c:v>Informatique</c:v>
                </c:pt>
                <c:pt idx="9">
                  <c:v>Informatique - en apprentissage</c:v>
                </c:pt>
                <c:pt idx="10">
                  <c:v>Gestion des entreprises et des administrations</c:v>
                </c:pt>
                <c:pt idx="11">
                  <c:v>Gestion des entreprises et des administrations - en apprentissage</c:v>
                </c:pt>
                <c:pt idx="12">
                  <c:v>Techniques de commercialisation (Nice)</c:v>
                </c:pt>
                <c:pt idx="13">
                  <c:v>Techniques de commercialisation - en apprentissage</c:v>
                </c:pt>
                <c:pt idx="14">
                  <c:v>Science des données (ex. Statistique et informatique décisionnelle)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BUT!$D$4:$D$21</c15:sqref>
                  </c15:fullRef>
                </c:ext>
              </c:extLst>
              <c:f>(BUT!$D$4:$D$5,BUT!$D$7:$D$9,BUT!$D$11:$D$13,BUT!$D$15:$D$21)</c:f>
              <c:numCache>
                <c:formatCode>General</c:formatCode>
                <c:ptCount val="15"/>
                <c:pt idx="0">
                  <c:v>2059</c:v>
                </c:pt>
                <c:pt idx="1">
                  <c:v>2685</c:v>
                </c:pt>
                <c:pt idx="2">
                  <c:v>375</c:v>
                </c:pt>
                <c:pt idx="3">
                  <c:v>480</c:v>
                </c:pt>
                <c:pt idx="4">
                  <c:v>730</c:v>
                </c:pt>
                <c:pt idx="5">
                  <c:v>934</c:v>
                </c:pt>
                <c:pt idx="6">
                  <c:v>1633</c:v>
                </c:pt>
                <c:pt idx="7">
                  <c:v>1199</c:v>
                </c:pt>
                <c:pt idx="8">
                  <c:v>1791</c:v>
                </c:pt>
                <c:pt idx="9">
                  <c:v>372</c:v>
                </c:pt>
                <c:pt idx="10">
                  <c:v>6000</c:v>
                </c:pt>
                <c:pt idx="11">
                  <c:v>1551</c:v>
                </c:pt>
                <c:pt idx="12">
                  <c:v>5518</c:v>
                </c:pt>
                <c:pt idx="13">
                  <c:v>1506</c:v>
                </c:pt>
                <c:pt idx="14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A-4940-B43E-0487C01ED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797712"/>
        <c:axId val="548795416"/>
        <c:extLst/>
      </c:barChart>
      <c:catAx>
        <c:axId val="54879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8795416"/>
        <c:crosses val="autoZero"/>
        <c:auto val="1"/>
        <c:lblAlgn val="ctr"/>
        <c:lblOffset val="100"/>
        <c:noMultiLvlLbl val="0"/>
      </c:catAx>
      <c:valAx>
        <c:axId val="54879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879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VŒUX PARCOURSUP CONFIRME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'TOTAL UCA'!$B$2</c:f>
              <c:strCache>
                <c:ptCount val="1"/>
                <c:pt idx="0">
                  <c:v>Total des vœux 2018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UCA'!$B$4:$B$6</c:f>
              <c:numCache>
                <c:formatCode>General</c:formatCode>
                <c:ptCount val="3"/>
                <c:pt idx="0">
                  <c:v>27775</c:v>
                </c:pt>
                <c:pt idx="1">
                  <c:v>5236</c:v>
                </c:pt>
                <c:pt idx="2">
                  <c:v>21079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2-4BA6-AC13-425A13DFEBC0}"/>
            </c:ext>
          </c:extLst>
        </c:ser>
        <c:ser>
          <c:idx val="0"/>
          <c:order val="1"/>
          <c:tx>
            <c:strRef>
              <c:f>'TOTAL UCA'!$C$2</c:f>
              <c:strCache>
                <c:ptCount val="1"/>
                <c:pt idx="0">
                  <c:v>Total des vœux 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UCA'!$C$4:$C$6</c:f>
              <c:numCache>
                <c:formatCode>General</c:formatCode>
                <c:ptCount val="3"/>
                <c:pt idx="0">
                  <c:v>31388</c:v>
                </c:pt>
                <c:pt idx="1">
                  <c:v>7656</c:v>
                </c:pt>
                <c:pt idx="2">
                  <c:v>20706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2-4BA6-AC13-425A13DFEBC0}"/>
            </c:ext>
          </c:extLst>
        </c:ser>
        <c:ser>
          <c:idx val="3"/>
          <c:order val="2"/>
          <c:tx>
            <c:strRef>
              <c:f>'TOTAL UCA'!$D$2:$D$3</c:f>
              <c:strCache>
                <c:ptCount val="2"/>
                <c:pt idx="0">
                  <c:v>Total des vœux 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UCA'!$D$4:$D$6</c:f>
              <c:numCache>
                <c:formatCode>General</c:formatCode>
                <c:ptCount val="3"/>
                <c:pt idx="0">
                  <c:v>38690</c:v>
                </c:pt>
                <c:pt idx="1">
                  <c:v>5713</c:v>
                </c:pt>
                <c:pt idx="2">
                  <c:v>19705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0-4830-9ED0-6B72C1569C88}"/>
            </c:ext>
          </c:extLst>
        </c:ser>
        <c:ser>
          <c:idx val="1"/>
          <c:order val="3"/>
          <c:tx>
            <c:strRef>
              <c:f>'TOTAL UCA'!$E$2:$E$3</c:f>
              <c:strCache>
                <c:ptCount val="2"/>
                <c:pt idx="0">
                  <c:v>Total des vœux 2021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UCA'!$E$4:$E$6</c:f>
              <c:numCache>
                <c:formatCode>General</c:formatCode>
                <c:ptCount val="3"/>
                <c:pt idx="0">
                  <c:v>46929</c:v>
                </c:pt>
                <c:pt idx="1">
                  <c:v>7577</c:v>
                </c:pt>
                <c:pt idx="2">
                  <c:v>20098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4-46E4-8CA6-D00FB65A6720}"/>
            </c:ext>
          </c:extLst>
        </c:ser>
        <c:ser>
          <c:idx val="4"/>
          <c:order val="4"/>
          <c:tx>
            <c:strRef>
              <c:f>'TOTAL UCA'!$F$2:$F$3</c:f>
              <c:strCache>
                <c:ptCount val="2"/>
                <c:pt idx="0">
                  <c:v>Total des vœux 2022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UCA'!$F$4:$F$6</c:f>
              <c:numCache>
                <c:formatCode>General</c:formatCode>
                <c:ptCount val="3"/>
                <c:pt idx="0">
                  <c:v>54650</c:v>
                </c:pt>
                <c:pt idx="1">
                  <c:v>7366</c:v>
                </c:pt>
                <c:pt idx="2">
                  <c:v>20796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9-414C-A9C6-0A3352FD4667}"/>
            </c:ext>
          </c:extLst>
        </c:ser>
        <c:ser>
          <c:idx val="5"/>
          <c:order val="5"/>
          <c:tx>
            <c:strRef>
              <c:f>'TOTAL UCA'!$G$2:$G$3</c:f>
              <c:strCache>
                <c:ptCount val="2"/>
                <c:pt idx="0">
                  <c:v>Total des vœux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UCA'!$G$4:$G$6</c:f>
              <c:numCache>
                <c:formatCode>General</c:formatCode>
                <c:ptCount val="3"/>
                <c:pt idx="0">
                  <c:v>43830</c:v>
                </c:pt>
                <c:pt idx="1">
                  <c:v>9227</c:v>
                </c:pt>
                <c:pt idx="2">
                  <c:v>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4-4C14-AB68-9A2561F1CC02}"/>
            </c:ext>
          </c:extLst>
        </c:ser>
        <c:ser>
          <c:idx val="6"/>
          <c:order val="6"/>
          <c:tx>
            <c:strRef>
              <c:f>'TOTAL UCA'!$H$2:$H$3</c:f>
              <c:strCache>
                <c:ptCount val="2"/>
                <c:pt idx="0">
                  <c:v>Total des vœux 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UCA'!$H$4:$H$6</c:f>
              <c:numCache>
                <c:formatCode>General</c:formatCode>
                <c:ptCount val="3"/>
                <c:pt idx="0">
                  <c:v>51483</c:v>
                </c:pt>
                <c:pt idx="1">
                  <c:v>8742</c:v>
                </c:pt>
                <c:pt idx="2">
                  <c:v>23323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B-4F9C-AC0D-4E6579308D3B}"/>
            </c:ext>
          </c:extLst>
        </c:ser>
        <c:ser>
          <c:idx val="7"/>
          <c:order val="7"/>
          <c:tx>
            <c:strRef>
              <c:f>'TOTAL UCA'!$I$2:$I$3</c:f>
              <c:strCache>
                <c:ptCount val="2"/>
                <c:pt idx="0">
                  <c:v>Total des vœux 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UCA'!$I$4:$I$6</c:f>
              <c:numCache>
                <c:formatCode>0</c:formatCode>
                <c:ptCount val="3"/>
                <c:pt idx="0" formatCode="General">
                  <c:v>67980</c:v>
                </c:pt>
                <c:pt idx="1">
                  <c:v>9119</c:v>
                </c:pt>
                <c:pt idx="2">
                  <c:v>27180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E-42A3-ABDA-5D33CDEAFF93}"/>
            </c:ext>
          </c:extLst>
        </c:ser>
        <c:ser>
          <c:idx val="8"/>
          <c:order val="8"/>
          <c:tx>
            <c:strRef>
              <c:f>'TOTAL UCA'!$J$2:$J$3</c:f>
              <c:strCache>
                <c:ptCount val="2"/>
                <c:pt idx="0">
                  <c:v>Total des vœux 2026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UCA'!$A$4:$A$6</c:f>
              <c:strCache>
                <c:ptCount val="3"/>
                <c:pt idx="0">
                  <c:v>Licence (+PASS)</c:v>
                </c:pt>
                <c:pt idx="1">
                  <c:v>Double licence</c:v>
                </c:pt>
                <c:pt idx="2">
                  <c:v>BUT</c:v>
                </c:pt>
              </c:strCache>
            </c:strRef>
          </c:cat>
          <c:val>
            <c:numRef>
              <c:f>'TOTAL UCA'!$J$4:$J$6</c:f>
              <c:numCache>
                <c:formatCode>0</c:formatCode>
                <c:ptCount val="3"/>
                <c:pt idx="0" formatCode="General">
                  <c:v>67580</c:v>
                </c:pt>
                <c:pt idx="1">
                  <c:v>8658</c:v>
                </c:pt>
                <c:pt idx="2">
                  <c:v>27530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8-42DA-A47A-CF5B9EBB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485024"/>
        <c:axId val="546213592"/>
      </c:barChart>
      <c:dateAx>
        <c:axId val="5514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213592"/>
        <c:crosses val="autoZero"/>
        <c:auto val="0"/>
        <c:lblOffset val="100"/>
        <c:baseTimeUnit val="days"/>
      </c:dateAx>
      <c:valAx>
        <c:axId val="54621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48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114299</xdr:colOff>
      <xdr:row>0</xdr:row>
      <xdr:rowOff>38099</xdr:rowOff>
    </xdr:from>
    <xdr:to>
      <xdr:col>26</xdr:col>
      <xdr:colOff>0</xdr:colOff>
      <xdr:row>20</xdr:row>
      <xdr:rowOff>190499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</xdr:colOff>
      <xdr:row>22</xdr:row>
      <xdr:rowOff>136525</xdr:rowOff>
    </xdr:from>
    <xdr:to>
      <xdr:col>14</xdr:col>
      <xdr:colOff>666750</xdr:colOff>
      <xdr:row>55</xdr:row>
      <xdr:rowOff>57149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7</xdr:row>
      <xdr:rowOff>190499</xdr:rowOff>
    </xdr:from>
    <xdr:to>
      <xdr:col>13</xdr:col>
      <xdr:colOff>984250</xdr:colOff>
      <xdr:row>35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showGridLines="0" topLeftCell="A32" zoomScaleNormal="100" workbookViewId="0">
      <selection activeCell="D52" sqref="D52"/>
    </sheetView>
  </sheetViews>
  <sheetFormatPr baseColWidth="10" defaultRowHeight="15" x14ac:dyDescent="0.25"/>
  <cols>
    <col min="2" max="2" width="27.5703125" bestFit="1" customWidth="1"/>
    <col min="3" max="14" width="10.85546875" customWidth="1"/>
  </cols>
  <sheetData>
    <row r="1" spans="1:15" ht="23.25" x14ac:dyDescent="0.35">
      <c r="A1" s="68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ht="67.5" customHeight="1" x14ac:dyDescent="0.25">
      <c r="A2" s="13" t="s">
        <v>0</v>
      </c>
      <c r="B2" s="13" t="s">
        <v>1</v>
      </c>
      <c r="C2" s="13" t="s">
        <v>29</v>
      </c>
      <c r="D2" s="14" t="s">
        <v>140</v>
      </c>
      <c r="E2" s="14" t="s">
        <v>32</v>
      </c>
      <c r="F2" s="12" t="s">
        <v>31</v>
      </c>
      <c r="G2" s="21" t="s">
        <v>63</v>
      </c>
      <c r="H2" s="33" t="s">
        <v>72</v>
      </c>
      <c r="I2" s="44" t="s">
        <v>101</v>
      </c>
      <c r="J2" s="52" t="s">
        <v>107</v>
      </c>
      <c r="K2" s="60" t="s">
        <v>116</v>
      </c>
      <c r="L2" s="61" t="s">
        <v>119</v>
      </c>
      <c r="M2" s="62" t="s">
        <v>135</v>
      </c>
      <c r="N2" s="12" t="s">
        <v>35</v>
      </c>
    </row>
    <row r="3" spans="1:15" x14ac:dyDescent="0.25">
      <c r="A3" s="34" t="s">
        <v>2</v>
      </c>
      <c r="B3" s="36" t="s">
        <v>82</v>
      </c>
      <c r="C3" s="16">
        <f>240+144</f>
        <v>384</v>
      </c>
      <c r="D3" s="4">
        <f>3409+3355</f>
        <v>6764</v>
      </c>
      <c r="E3" s="7">
        <f t="shared" ref="E3:E12" si="0">D3/C3</f>
        <v>17.614583333333332</v>
      </c>
      <c r="F3" s="4">
        <v>1760</v>
      </c>
      <c r="G3" s="4">
        <v>1879</v>
      </c>
      <c r="H3" s="4">
        <v>2653</v>
      </c>
      <c r="I3" s="16">
        <v>3157</v>
      </c>
      <c r="J3" s="16">
        <f>2545+2384</f>
        <v>4929</v>
      </c>
      <c r="K3" s="4">
        <v>4501</v>
      </c>
      <c r="L3" s="4">
        <f>2653+2606</f>
        <v>5259</v>
      </c>
      <c r="M3" s="4">
        <v>6779</v>
      </c>
      <c r="N3" s="8">
        <f>(D3-M3)/M3</f>
        <v>-2.212715739784629E-3</v>
      </c>
      <c r="O3" s="11"/>
    </row>
    <row r="4" spans="1:15" x14ac:dyDescent="0.25">
      <c r="A4" s="34" t="s">
        <v>2</v>
      </c>
      <c r="B4" s="36" t="s">
        <v>83</v>
      </c>
      <c r="C4" s="16">
        <f>400+180</f>
        <v>580</v>
      </c>
      <c r="D4" s="4">
        <f>3793+2495</f>
        <v>6288</v>
      </c>
      <c r="E4" s="7">
        <f t="shared" si="0"/>
        <v>10.841379310344827</v>
      </c>
      <c r="F4" s="4">
        <v>2466</v>
      </c>
      <c r="G4" s="4">
        <v>2948</v>
      </c>
      <c r="H4" s="4">
        <v>4444</v>
      </c>
      <c r="I4" s="16">
        <v>4170</v>
      </c>
      <c r="J4" s="16">
        <f>5111+2912</f>
        <v>8023</v>
      </c>
      <c r="K4" s="4">
        <v>6011</v>
      </c>
      <c r="L4" s="4">
        <f>4102+2452</f>
        <v>6554</v>
      </c>
      <c r="M4" s="4">
        <v>5775</v>
      </c>
      <c r="N4" s="8">
        <f>(D4-M4)/M4</f>
        <v>8.883116883116883E-2</v>
      </c>
    </row>
    <row r="5" spans="1:15" x14ac:dyDescent="0.25">
      <c r="A5" s="34" t="s">
        <v>2</v>
      </c>
      <c r="B5" s="45" t="s">
        <v>81</v>
      </c>
      <c r="C5" s="46"/>
      <c r="D5" s="47"/>
      <c r="E5" s="48"/>
      <c r="F5" s="6">
        <v>4203</v>
      </c>
      <c r="G5" s="6">
        <v>4446</v>
      </c>
      <c r="H5" s="6">
        <v>4996</v>
      </c>
      <c r="I5" s="16">
        <v>6445</v>
      </c>
      <c r="J5" s="46"/>
      <c r="K5" s="47"/>
      <c r="L5" s="47"/>
      <c r="M5" s="47"/>
      <c r="N5" s="47"/>
    </row>
    <row r="6" spans="1:15" x14ac:dyDescent="0.25">
      <c r="A6" s="34" t="s">
        <v>7</v>
      </c>
      <c r="B6" s="36" t="s">
        <v>84</v>
      </c>
      <c r="C6" s="16">
        <f>660+67</f>
        <v>727</v>
      </c>
      <c r="D6" s="4">
        <f>6130+1227</f>
        <v>7357</v>
      </c>
      <c r="E6" s="7">
        <f t="shared" si="0"/>
        <v>10.119669876203575</v>
      </c>
      <c r="F6" s="4">
        <v>3150</v>
      </c>
      <c r="G6" s="4">
        <v>3761</v>
      </c>
      <c r="H6" s="4">
        <v>4076</v>
      </c>
      <c r="I6" s="16">
        <v>4607</v>
      </c>
      <c r="J6" s="16">
        <f>1140+5201</f>
        <v>6341</v>
      </c>
      <c r="K6" s="4">
        <v>6625</v>
      </c>
      <c r="L6" s="4">
        <v>6451</v>
      </c>
      <c r="M6" s="4">
        <v>7787</v>
      </c>
      <c r="N6" s="8">
        <f>(D6-M6)/M6</f>
        <v>-5.5220238859637859E-2</v>
      </c>
    </row>
    <row r="7" spans="1:15" x14ac:dyDescent="0.25">
      <c r="A7" s="34" t="s">
        <v>7</v>
      </c>
      <c r="B7" s="36" t="s">
        <v>85</v>
      </c>
      <c r="C7" s="16">
        <v>510</v>
      </c>
      <c r="D7" s="4">
        <f>5871+2160</f>
        <v>8031</v>
      </c>
      <c r="E7" s="7">
        <f t="shared" si="0"/>
        <v>15.747058823529411</v>
      </c>
      <c r="F7" s="4">
        <v>3605</v>
      </c>
      <c r="G7" s="4">
        <v>3689</v>
      </c>
      <c r="H7" s="4">
        <v>3691</v>
      </c>
      <c r="I7" s="16">
        <v>3843</v>
      </c>
      <c r="J7" s="16">
        <f>1433+4189</f>
        <v>5622</v>
      </c>
      <c r="K7" s="4">
        <v>5177</v>
      </c>
      <c r="L7" s="4">
        <f>6389</f>
        <v>6389</v>
      </c>
      <c r="M7" s="4">
        <v>7677</v>
      </c>
      <c r="N7" s="8">
        <f>(D7-M7)/M7</f>
        <v>4.611176240719031E-2</v>
      </c>
    </row>
    <row r="8" spans="1:15" x14ac:dyDescent="0.25">
      <c r="A8" s="34" t="s">
        <v>8</v>
      </c>
      <c r="B8" s="38" t="s">
        <v>9</v>
      </c>
      <c r="C8" s="50"/>
      <c r="D8" s="42"/>
      <c r="E8" s="42"/>
      <c r="F8" s="4">
        <v>553</v>
      </c>
      <c r="G8" s="4">
        <v>533</v>
      </c>
      <c r="H8" s="4">
        <v>609</v>
      </c>
      <c r="I8" s="16">
        <v>478</v>
      </c>
      <c r="J8" s="16">
        <v>546</v>
      </c>
      <c r="K8" s="4">
        <v>542</v>
      </c>
      <c r="L8" s="42"/>
      <c r="M8" s="42"/>
      <c r="N8" s="42"/>
    </row>
    <row r="9" spans="1:15" ht="30" x14ac:dyDescent="0.25">
      <c r="A9" s="34" t="s">
        <v>8</v>
      </c>
      <c r="B9" s="38" t="s">
        <v>120</v>
      </c>
      <c r="C9" s="16">
        <v>45</v>
      </c>
      <c r="D9" s="4">
        <v>519</v>
      </c>
      <c r="E9" s="7">
        <f t="shared" si="0"/>
        <v>11.533333333333333</v>
      </c>
      <c r="F9" s="42"/>
      <c r="G9" s="42"/>
      <c r="H9" s="42"/>
      <c r="I9" s="50"/>
      <c r="J9" s="50"/>
      <c r="K9" s="42"/>
      <c r="L9" s="4">
        <v>433</v>
      </c>
      <c r="M9" s="4">
        <v>568</v>
      </c>
      <c r="N9" s="8">
        <f>(D9-M9)/M9</f>
        <v>-8.6267605633802813E-2</v>
      </c>
    </row>
    <row r="10" spans="1:15" ht="30" x14ac:dyDescent="0.25">
      <c r="A10" s="34" t="s">
        <v>8</v>
      </c>
      <c r="B10" s="38" t="s">
        <v>121</v>
      </c>
      <c r="C10" s="16">
        <v>80</v>
      </c>
      <c r="D10" s="4">
        <v>502</v>
      </c>
      <c r="E10" s="7">
        <f t="shared" si="0"/>
        <v>6.2750000000000004</v>
      </c>
      <c r="F10" s="42"/>
      <c r="G10" s="42"/>
      <c r="H10" s="42"/>
      <c r="I10" s="50"/>
      <c r="J10" s="50"/>
      <c r="K10" s="42"/>
      <c r="L10" s="4">
        <v>389</v>
      </c>
      <c r="M10" s="4">
        <v>464</v>
      </c>
      <c r="N10" s="8">
        <f t="shared" ref="N10:N52" si="1">(D10-M10)/M10</f>
        <v>8.1896551724137928E-2</v>
      </c>
    </row>
    <row r="11" spans="1:15" ht="30" x14ac:dyDescent="0.25">
      <c r="A11" s="34" t="s">
        <v>8</v>
      </c>
      <c r="B11" s="38" t="s">
        <v>10</v>
      </c>
      <c r="C11" s="16">
        <v>270</v>
      </c>
      <c r="D11" s="4">
        <v>2540</v>
      </c>
      <c r="E11" s="7">
        <f t="shared" si="0"/>
        <v>9.4074074074074066</v>
      </c>
      <c r="F11" s="4">
        <v>1587</v>
      </c>
      <c r="G11" s="4">
        <v>1923</v>
      </c>
      <c r="H11" s="4">
        <v>2405</v>
      </c>
      <c r="I11" s="16">
        <v>2403</v>
      </c>
      <c r="J11" s="16">
        <v>3690</v>
      </c>
      <c r="K11" s="4">
        <v>1835</v>
      </c>
      <c r="L11" s="4">
        <v>2165</v>
      </c>
      <c r="M11" s="4">
        <v>2124</v>
      </c>
      <c r="N11" s="8">
        <f t="shared" si="1"/>
        <v>0.19585687382297551</v>
      </c>
    </row>
    <row r="12" spans="1:15" ht="30" x14ac:dyDescent="0.25">
      <c r="A12" s="34" t="s">
        <v>8</v>
      </c>
      <c r="B12" s="38" t="s">
        <v>11</v>
      </c>
      <c r="C12" s="16">
        <f>SUM(C56:C62)</f>
        <v>360</v>
      </c>
      <c r="D12" s="4">
        <f>SUM(D56:D62)</f>
        <v>3032</v>
      </c>
      <c r="E12" s="7">
        <f t="shared" si="0"/>
        <v>8.4222222222222225</v>
      </c>
      <c r="F12" s="4">
        <v>1756</v>
      </c>
      <c r="G12" s="4">
        <f>SUM(G13:G19)</f>
        <v>2166</v>
      </c>
      <c r="H12" s="4">
        <f>SUM(H13:H19)</f>
        <v>2288</v>
      </c>
      <c r="I12" s="4">
        <f>SUM(I13:I19)</f>
        <v>2172</v>
      </c>
      <c r="J12" s="4">
        <v>2348</v>
      </c>
      <c r="K12" s="4">
        <v>2414</v>
      </c>
      <c r="L12" s="4">
        <f>SUM(L56:L62)</f>
        <v>2408</v>
      </c>
      <c r="M12" s="4">
        <f>SUM(M56:M62)</f>
        <v>2803</v>
      </c>
      <c r="N12" s="8">
        <f t="shared" si="1"/>
        <v>8.1698180520870495E-2</v>
      </c>
    </row>
    <row r="13" spans="1:15" hidden="1" x14ac:dyDescent="0.25">
      <c r="A13" s="34" t="s">
        <v>8</v>
      </c>
      <c r="B13" s="17" t="s">
        <v>52</v>
      </c>
      <c r="C13" s="19">
        <f>C56</f>
        <v>35</v>
      </c>
      <c r="D13" s="19"/>
      <c r="E13" s="7">
        <f t="shared" ref="E13:E19" si="2">D13/C13</f>
        <v>0</v>
      </c>
      <c r="F13" s="19">
        <f t="shared" ref="F13:H19" si="3">F56</f>
        <v>0</v>
      </c>
      <c r="G13" s="19">
        <f t="shared" si="3"/>
        <v>146</v>
      </c>
      <c r="H13" s="19">
        <f t="shared" si="3"/>
        <v>97</v>
      </c>
      <c r="I13" s="19">
        <f t="shared" ref="I13" si="4">I56</f>
        <v>91</v>
      </c>
      <c r="J13" s="19"/>
      <c r="K13" s="19"/>
      <c r="L13" s="19"/>
      <c r="M13" s="19"/>
      <c r="N13" s="8" t="e">
        <f t="shared" si="1"/>
        <v>#DIV/0!</v>
      </c>
    </row>
    <row r="14" spans="1:15" hidden="1" x14ac:dyDescent="0.25">
      <c r="A14" s="34" t="s">
        <v>8</v>
      </c>
      <c r="B14" s="17" t="s">
        <v>53</v>
      </c>
      <c r="C14" s="19">
        <f>C57</f>
        <v>45</v>
      </c>
      <c r="D14" s="19"/>
      <c r="E14" s="7">
        <f t="shared" si="2"/>
        <v>0</v>
      </c>
      <c r="F14" s="19">
        <f t="shared" si="3"/>
        <v>0</v>
      </c>
      <c r="G14" s="19">
        <f t="shared" si="3"/>
        <v>184</v>
      </c>
      <c r="H14" s="19">
        <f t="shared" si="3"/>
        <v>206</v>
      </c>
      <c r="I14" s="19">
        <f t="shared" ref="I14:I19" si="5">I57</f>
        <v>261</v>
      </c>
      <c r="J14" s="19"/>
      <c r="K14" s="19"/>
      <c r="L14" s="19"/>
      <c r="M14" s="19"/>
      <c r="N14" s="8" t="e">
        <f t="shared" si="1"/>
        <v>#DIV/0!</v>
      </c>
    </row>
    <row r="15" spans="1:15" hidden="1" x14ac:dyDescent="0.25">
      <c r="A15" s="34" t="s">
        <v>8</v>
      </c>
      <c r="B15" s="17" t="s">
        <v>54</v>
      </c>
      <c r="C15" s="19">
        <f>C58</f>
        <v>40</v>
      </c>
      <c r="D15" s="19"/>
      <c r="E15" s="7">
        <f t="shared" si="2"/>
        <v>0</v>
      </c>
      <c r="F15" s="19">
        <f t="shared" si="3"/>
        <v>0</v>
      </c>
      <c r="G15" s="19">
        <f t="shared" si="3"/>
        <v>231</v>
      </c>
      <c r="H15" s="19">
        <f t="shared" si="3"/>
        <v>245</v>
      </c>
      <c r="I15" s="19">
        <f t="shared" si="5"/>
        <v>238</v>
      </c>
      <c r="J15" s="19"/>
      <c r="K15" s="19"/>
      <c r="L15" s="19"/>
      <c r="M15" s="19"/>
      <c r="N15" s="8" t="e">
        <f t="shared" si="1"/>
        <v>#DIV/0!</v>
      </c>
    </row>
    <row r="16" spans="1:15" hidden="1" x14ac:dyDescent="0.25">
      <c r="A16" s="34" t="s">
        <v>8</v>
      </c>
      <c r="B16" s="17" t="s">
        <v>55</v>
      </c>
      <c r="C16" s="19">
        <v>105</v>
      </c>
      <c r="D16" s="19"/>
      <c r="E16" s="7">
        <f t="shared" si="2"/>
        <v>0</v>
      </c>
      <c r="F16" s="19">
        <f t="shared" si="3"/>
        <v>0</v>
      </c>
      <c r="G16" s="19">
        <f t="shared" si="3"/>
        <v>957</v>
      </c>
      <c r="H16" s="19">
        <f t="shared" si="3"/>
        <v>973</v>
      </c>
      <c r="I16" s="19">
        <f t="shared" si="5"/>
        <v>884</v>
      </c>
      <c r="J16" s="19"/>
      <c r="K16" s="19"/>
      <c r="L16" s="19"/>
      <c r="M16" s="19"/>
      <c r="N16" s="8" t="e">
        <f t="shared" si="1"/>
        <v>#DIV/0!</v>
      </c>
    </row>
    <row r="17" spans="1:14" hidden="1" x14ac:dyDescent="0.25">
      <c r="A17" s="34" t="s">
        <v>8</v>
      </c>
      <c r="B17" s="17" t="s">
        <v>56</v>
      </c>
      <c r="C17" s="19">
        <v>55</v>
      </c>
      <c r="D17" s="19"/>
      <c r="E17" s="7">
        <f t="shared" si="2"/>
        <v>0</v>
      </c>
      <c r="F17" s="19">
        <f t="shared" si="3"/>
        <v>0</v>
      </c>
      <c r="G17" s="19">
        <f t="shared" si="3"/>
        <v>387</v>
      </c>
      <c r="H17" s="19">
        <f t="shared" si="3"/>
        <v>401</v>
      </c>
      <c r="I17" s="19">
        <f t="shared" si="5"/>
        <v>366</v>
      </c>
      <c r="J17" s="19"/>
      <c r="K17" s="19"/>
      <c r="L17" s="19"/>
      <c r="M17" s="19"/>
      <c r="N17" s="8" t="e">
        <f t="shared" si="1"/>
        <v>#DIV/0!</v>
      </c>
    </row>
    <row r="18" spans="1:14" hidden="1" x14ac:dyDescent="0.25">
      <c r="A18" s="34" t="s">
        <v>8</v>
      </c>
      <c r="B18" s="17" t="s">
        <v>57</v>
      </c>
      <c r="C18" s="19">
        <f>C61</f>
        <v>30</v>
      </c>
      <c r="D18" s="19"/>
      <c r="E18" s="7">
        <f t="shared" si="2"/>
        <v>0</v>
      </c>
      <c r="F18" s="19">
        <f t="shared" si="3"/>
        <v>0</v>
      </c>
      <c r="G18" s="19">
        <f t="shared" si="3"/>
        <v>83</v>
      </c>
      <c r="H18" s="19">
        <f t="shared" si="3"/>
        <v>127</v>
      </c>
      <c r="I18" s="19">
        <f t="shared" si="5"/>
        <v>100</v>
      </c>
      <c r="J18" s="19"/>
      <c r="K18" s="19"/>
      <c r="L18" s="19"/>
      <c r="M18" s="19"/>
      <c r="N18" s="8" t="e">
        <f t="shared" si="1"/>
        <v>#DIV/0!</v>
      </c>
    </row>
    <row r="19" spans="1:14" hidden="1" x14ac:dyDescent="0.25">
      <c r="A19" s="34" t="s">
        <v>8</v>
      </c>
      <c r="B19" s="17" t="s">
        <v>58</v>
      </c>
      <c r="C19" s="19">
        <f>C62</f>
        <v>45</v>
      </c>
      <c r="D19" s="19"/>
      <c r="E19" s="7">
        <f t="shared" si="2"/>
        <v>0</v>
      </c>
      <c r="F19" s="19">
        <f t="shared" si="3"/>
        <v>0</v>
      </c>
      <c r="G19" s="19">
        <f t="shared" si="3"/>
        <v>178</v>
      </c>
      <c r="H19" s="19">
        <f t="shared" si="3"/>
        <v>239</v>
      </c>
      <c r="I19" s="19">
        <f t="shared" si="5"/>
        <v>232</v>
      </c>
      <c r="J19" s="19"/>
      <c r="K19" s="19"/>
      <c r="L19" s="19"/>
      <c r="M19" s="19"/>
      <c r="N19" s="8" t="e">
        <f t="shared" si="1"/>
        <v>#DIV/0!</v>
      </c>
    </row>
    <row r="20" spans="1:14" x14ac:dyDescent="0.25">
      <c r="A20" s="34" t="s">
        <v>8</v>
      </c>
      <c r="B20" s="36" t="s">
        <v>102</v>
      </c>
      <c r="C20" s="16">
        <f>35+90+90</f>
        <v>215</v>
      </c>
      <c r="D20" s="4">
        <f>984+1086</f>
        <v>2070</v>
      </c>
      <c r="E20" s="7">
        <f>D20/C20</f>
        <v>9.6279069767441854</v>
      </c>
      <c r="F20" s="4">
        <v>465</v>
      </c>
      <c r="G20" s="4">
        <v>526</v>
      </c>
      <c r="H20" s="4">
        <v>487</v>
      </c>
      <c r="I20" s="16">
        <v>1141</v>
      </c>
      <c r="J20" s="16">
        <v>1463</v>
      </c>
      <c r="K20" s="4">
        <v>1856</v>
      </c>
      <c r="L20" s="4">
        <f>502+906+792</f>
        <v>2200</v>
      </c>
      <c r="M20" s="4">
        <v>2446</v>
      </c>
      <c r="N20" s="8">
        <f t="shared" si="1"/>
        <v>-0.15372035977105478</v>
      </c>
    </row>
    <row r="21" spans="1:14" ht="45" x14ac:dyDescent="0.25">
      <c r="A21" s="34" t="s">
        <v>8</v>
      </c>
      <c r="B21" s="38" t="s">
        <v>13</v>
      </c>
      <c r="C21" s="16">
        <f>SUM(C64:C66)</f>
        <v>300</v>
      </c>
      <c r="D21" s="4">
        <f>SUM(D64:D66)</f>
        <v>1574</v>
      </c>
      <c r="E21" s="7">
        <f>D21/C21</f>
        <v>5.246666666666667</v>
      </c>
      <c r="F21" s="4">
        <v>794</v>
      </c>
      <c r="G21" s="4">
        <f>SUM(G22:G25)</f>
        <v>1112</v>
      </c>
      <c r="H21" s="4">
        <f>SUM(H22:H25)</f>
        <v>1306</v>
      </c>
      <c r="I21" s="4">
        <f>SUM(I22:I25)</f>
        <v>1400</v>
      </c>
      <c r="J21" s="4">
        <f>1287+326+146</f>
        <v>1759</v>
      </c>
      <c r="K21" s="4">
        <v>1460</v>
      </c>
      <c r="L21" s="4">
        <f>SUM(L63:L66)</f>
        <v>1538</v>
      </c>
      <c r="M21" s="4">
        <f>SUM(M64:M66)</f>
        <v>1737</v>
      </c>
      <c r="N21" s="8">
        <f t="shared" si="1"/>
        <v>-9.3839953943580884E-2</v>
      </c>
    </row>
    <row r="22" spans="1:14" hidden="1" x14ac:dyDescent="0.25">
      <c r="A22" s="34" t="s">
        <v>8</v>
      </c>
      <c r="B22" s="38" t="s">
        <v>59</v>
      </c>
      <c r="C22" s="19">
        <v>55</v>
      </c>
      <c r="D22" s="19"/>
      <c r="E22" s="7">
        <f t="shared" ref="E22:E25" si="6">D22/C22</f>
        <v>0</v>
      </c>
      <c r="F22" s="19">
        <f t="shared" ref="F22:I25" si="7">F63</f>
        <v>0</v>
      </c>
      <c r="G22" s="19">
        <f t="shared" si="7"/>
        <v>20</v>
      </c>
      <c r="H22" s="19">
        <f t="shared" si="7"/>
        <v>40</v>
      </c>
      <c r="I22" s="19">
        <f t="shared" si="7"/>
        <v>12</v>
      </c>
      <c r="J22" s="19"/>
      <c r="K22" s="19"/>
      <c r="L22" s="19"/>
      <c r="M22" s="19"/>
      <c r="N22" s="8" t="e">
        <f t="shared" si="1"/>
        <v>#DIV/0!</v>
      </c>
    </row>
    <row r="23" spans="1:14" hidden="1" x14ac:dyDescent="0.25">
      <c r="A23" s="34" t="s">
        <v>8</v>
      </c>
      <c r="B23" s="38" t="s">
        <v>60</v>
      </c>
      <c r="C23" s="19">
        <f>C64</f>
        <v>180</v>
      </c>
      <c r="D23" s="19"/>
      <c r="E23" s="7">
        <f t="shared" si="6"/>
        <v>0</v>
      </c>
      <c r="F23" s="19">
        <f t="shared" si="7"/>
        <v>0</v>
      </c>
      <c r="G23" s="19">
        <f t="shared" si="7"/>
        <v>760</v>
      </c>
      <c r="H23" s="19">
        <f t="shared" si="7"/>
        <v>933</v>
      </c>
      <c r="I23" s="19">
        <f t="shared" si="7"/>
        <v>1001</v>
      </c>
      <c r="J23" s="19"/>
      <c r="K23" s="19"/>
      <c r="L23" s="19"/>
      <c r="M23" s="19"/>
      <c r="N23" s="8" t="e">
        <f t="shared" si="1"/>
        <v>#DIV/0!</v>
      </c>
    </row>
    <row r="24" spans="1:14" hidden="1" x14ac:dyDescent="0.25">
      <c r="A24" s="34" t="s">
        <v>8</v>
      </c>
      <c r="B24" s="38" t="s">
        <v>61</v>
      </c>
      <c r="C24" s="19">
        <f>C65</f>
        <v>60</v>
      </c>
      <c r="D24" s="19"/>
      <c r="E24" s="7">
        <f t="shared" si="6"/>
        <v>0</v>
      </c>
      <c r="F24" s="19">
        <f t="shared" si="7"/>
        <v>0</v>
      </c>
      <c r="G24" s="19">
        <f t="shared" si="7"/>
        <v>207</v>
      </c>
      <c r="H24" s="19">
        <f t="shared" si="7"/>
        <v>181</v>
      </c>
      <c r="I24" s="19">
        <f t="shared" si="7"/>
        <v>256</v>
      </c>
      <c r="J24" s="19"/>
      <c r="K24" s="19"/>
      <c r="L24" s="19"/>
      <c r="M24" s="19"/>
      <c r="N24" s="8" t="e">
        <f t="shared" si="1"/>
        <v>#DIV/0!</v>
      </c>
    </row>
    <row r="25" spans="1:14" hidden="1" x14ac:dyDescent="0.25">
      <c r="A25" s="34" t="s">
        <v>8</v>
      </c>
      <c r="B25" s="38" t="s">
        <v>62</v>
      </c>
      <c r="C25" s="19">
        <f>C66</f>
        <v>60</v>
      </c>
      <c r="D25" s="19"/>
      <c r="E25" s="7">
        <f t="shared" si="6"/>
        <v>0</v>
      </c>
      <c r="F25" s="19">
        <f t="shared" si="7"/>
        <v>0</v>
      </c>
      <c r="G25" s="19">
        <f t="shared" si="7"/>
        <v>125</v>
      </c>
      <c r="H25" s="19">
        <f t="shared" si="7"/>
        <v>152</v>
      </c>
      <c r="I25" s="19">
        <f t="shared" si="7"/>
        <v>131</v>
      </c>
      <c r="J25" s="19"/>
      <c r="K25" s="19"/>
      <c r="L25" s="19"/>
      <c r="M25" s="19"/>
      <c r="N25" s="8" t="e">
        <f t="shared" si="1"/>
        <v>#DIV/0!</v>
      </c>
    </row>
    <row r="26" spans="1:14" x14ac:dyDescent="0.25">
      <c r="A26" s="34" t="s">
        <v>8</v>
      </c>
      <c r="B26" s="38" t="s">
        <v>14</v>
      </c>
      <c r="C26" s="16">
        <v>70</v>
      </c>
      <c r="D26" s="4">
        <v>338</v>
      </c>
      <c r="E26" s="7">
        <f t="shared" ref="E26:E52" si="8">D26/C26</f>
        <v>4.8285714285714283</v>
      </c>
      <c r="F26" s="4">
        <v>231</v>
      </c>
      <c r="G26" s="4">
        <v>224</v>
      </c>
      <c r="H26" s="4">
        <v>400</v>
      </c>
      <c r="I26" s="16">
        <v>320</v>
      </c>
      <c r="J26" s="16">
        <v>637</v>
      </c>
      <c r="K26" s="4">
        <v>168</v>
      </c>
      <c r="L26" s="4">
        <v>429</v>
      </c>
      <c r="M26" s="4">
        <v>283</v>
      </c>
      <c r="N26" s="8">
        <f t="shared" si="1"/>
        <v>0.19434628975265017</v>
      </c>
    </row>
    <row r="27" spans="1:14" ht="45" x14ac:dyDescent="0.25">
      <c r="A27" s="34" t="s">
        <v>19</v>
      </c>
      <c r="B27" s="36" t="s">
        <v>108</v>
      </c>
      <c r="C27" s="16">
        <v>80</v>
      </c>
      <c r="D27" s="4">
        <v>458</v>
      </c>
      <c r="E27" s="7">
        <f t="shared" si="8"/>
        <v>5.7249999999999996</v>
      </c>
      <c r="F27" s="4">
        <v>369</v>
      </c>
      <c r="G27" s="4">
        <v>395</v>
      </c>
      <c r="H27" s="4">
        <v>664</v>
      </c>
      <c r="I27" s="16">
        <v>749</v>
      </c>
      <c r="J27" s="16">
        <v>425</v>
      </c>
      <c r="K27" s="4">
        <v>406</v>
      </c>
      <c r="L27" s="4">
        <v>335</v>
      </c>
      <c r="M27" s="4">
        <v>335</v>
      </c>
      <c r="N27" s="8">
        <f t="shared" si="1"/>
        <v>0.36716417910447763</v>
      </c>
    </row>
    <row r="28" spans="1:14" x14ac:dyDescent="0.25">
      <c r="A28" s="34" t="s">
        <v>19</v>
      </c>
      <c r="B28" s="38" t="s">
        <v>20</v>
      </c>
      <c r="C28" s="16">
        <v>60</v>
      </c>
      <c r="D28" s="4">
        <v>333</v>
      </c>
      <c r="E28" s="7">
        <f t="shared" si="8"/>
        <v>5.55</v>
      </c>
      <c r="F28" s="4">
        <v>217</v>
      </c>
      <c r="G28" s="4">
        <v>276</v>
      </c>
      <c r="H28" s="4">
        <v>220</v>
      </c>
      <c r="I28" s="16">
        <v>284</v>
      </c>
      <c r="J28" s="16">
        <v>305</v>
      </c>
      <c r="K28" s="4">
        <v>297</v>
      </c>
      <c r="L28" s="4">
        <v>277</v>
      </c>
      <c r="M28" s="4">
        <v>288</v>
      </c>
      <c r="N28" s="8">
        <f t="shared" si="1"/>
        <v>0.15625</v>
      </c>
    </row>
    <row r="29" spans="1:14" x14ac:dyDescent="0.25">
      <c r="A29" s="34" t="s">
        <v>19</v>
      </c>
      <c r="B29" s="36" t="s">
        <v>86</v>
      </c>
      <c r="C29" s="16">
        <f>185+90</f>
        <v>275</v>
      </c>
      <c r="D29" s="4">
        <f>1136+1384</f>
        <v>2520</v>
      </c>
      <c r="E29" s="7">
        <f t="shared" si="8"/>
        <v>9.163636363636364</v>
      </c>
      <c r="F29" s="4">
        <v>823</v>
      </c>
      <c r="G29" s="4">
        <v>882</v>
      </c>
      <c r="H29" s="4">
        <v>1069</v>
      </c>
      <c r="I29" s="16">
        <v>1089</v>
      </c>
      <c r="J29" s="16">
        <f>981+1265</f>
        <v>2246</v>
      </c>
      <c r="K29" s="4">
        <v>1997</v>
      </c>
      <c r="L29" s="4">
        <f>887+1229</f>
        <v>2116</v>
      </c>
      <c r="M29" s="4">
        <v>2558</v>
      </c>
      <c r="N29" s="8">
        <f t="shared" si="1"/>
        <v>-1.4855355746677092E-2</v>
      </c>
    </row>
    <row r="30" spans="1:14" x14ac:dyDescent="0.25">
      <c r="A30" s="34" t="s">
        <v>19</v>
      </c>
      <c r="B30" s="36" t="s">
        <v>87</v>
      </c>
      <c r="C30" s="16">
        <f>463+135</f>
        <v>598</v>
      </c>
      <c r="D30" s="4">
        <f>3998+7117</f>
        <v>11115</v>
      </c>
      <c r="E30" s="7">
        <f t="shared" si="8"/>
        <v>18.586956521739129</v>
      </c>
      <c r="F30" s="4">
        <v>2796</v>
      </c>
      <c r="G30" s="4">
        <v>3377</v>
      </c>
      <c r="H30" s="4">
        <v>4888</v>
      </c>
      <c r="I30" s="16">
        <v>5965</v>
      </c>
      <c r="J30" s="16">
        <f>3335+6363</f>
        <v>9698</v>
      </c>
      <c r="K30" s="4">
        <v>8406</v>
      </c>
      <c r="L30" s="4">
        <f>5464+2990</f>
        <v>8454</v>
      </c>
      <c r="M30" s="4">
        <v>11775</v>
      </c>
      <c r="N30" s="8">
        <f t="shared" si="1"/>
        <v>-5.605095541401274E-2</v>
      </c>
    </row>
    <row r="31" spans="1:14" ht="30" x14ac:dyDescent="0.25">
      <c r="A31" s="34" t="s">
        <v>19</v>
      </c>
      <c r="B31" s="36" t="s">
        <v>109</v>
      </c>
      <c r="C31" s="16">
        <v>80</v>
      </c>
      <c r="D31" s="4">
        <v>430</v>
      </c>
      <c r="E31" s="7">
        <f t="shared" si="8"/>
        <v>5.375</v>
      </c>
      <c r="F31" s="4">
        <v>217</v>
      </c>
      <c r="G31" s="4">
        <v>292</v>
      </c>
      <c r="H31" s="4">
        <v>343</v>
      </c>
      <c r="I31" s="16">
        <v>506</v>
      </c>
      <c r="J31" s="16">
        <v>258</v>
      </c>
      <c r="K31" s="4">
        <v>262</v>
      </c>
      <c r="L31" s="4">
        <v>270</v>
      </c>
      <c r="M31" s="4">
        <v>305</v>
      </c>
      <c r="N31" s="8">
        <f t="shared" si="1"/>
        <v>0.4098360655737705</v>
      </c>
    </row>
    <row r="32" spans="1:14" ht="30" x14ac:dyDescent="0.25">
      <c r="A32" s="34" t="s">
        <v>19</v>
      </c>
      <c r="B32" s="36" t="s">
        <v>110</v>
      </c>
      <c r="C32" s="16">
        <v>90</v>
      </c>
      <c r="D32" s="4">
        <v>1182</v>
      </c>
      <c r="E32" s="7">
        <f t="shared" si="8"/>
        <v>13.133333333333333</v>
      </c>
      <c r="F32" s="4">
        <v>590</v>
      </c>
      <c r="G32" s="4">
        <v>701</v>
      </c>
      <c r="H32" s="4">
        <v>953</v>
      </c>
      <c r="I32" s="16">
        <v>1261</v>
      </c>
      <c r="J32" s="16">
        <v>964</v>
      </c>
      <c r="K32" s="4">
        <v>808</v>
      </c>
      <c r="L32" s="4">
        <v>1045</v>
      </c>
      <c r="M32" s="4">
        <v>1072</v>
      </c>
      <c r="N32" s="8">
        <f t="shared" si="1"/>
        <v>0.10261194029850747</v>
      </c>
    </row>
    <row r="33" spans="1:14" ht="30" x14ac:dyDescent="0.25">
      <c r="A33" s="34" t="s">
        <v>19</v>
      </c>
      <c r="B33" s="36" t="s">
        <v>111</v>
      </c>
      <c r="C33" s="16">
        <v>80</v>
      </c>
      <c r="D33" s="4">
        <v>501</v>
      </c>
      <c r="E33" s="7">
        <f t="shared" si="8"/>
        <v>6.2625000000000002</v>
      </c>
      <c r="F33" s="4">
        <v>260</v>
      </c>
      <c r="G33" s="4">
        <v>286</v>
      </c>
      <c r="H33" s="4">
        <v>333</v>
      </c>
      <c r="I33" s="16">
        <v>494</v>
      </c>
      <c r="J33" s="16">
        <v>373</v>
      </c>
      <c r="K33" s="4">
        <v>358</v>
      </c>
      <c r="L33" s="4">
        <v>359</v>
      </c>
      <c r="M33" s="4">
        <v>328</v>
      </c>
      <c r="N33" s="8">
        <f t="shared" si="1"/>
        <v>0.52743902439024393</v>
      </c>
    </row>
    <row r="34" spans="1:14" ht="30" x14ac:dyDescent="0.25">
      <c r="A34" s="35" t="s">
        <v>19</v>
      </c>
      <c r="B34" s="37" t="s">
        <v>131</v>
      </c>
      <c r="C34" s="27">
        <v>35</v>
      </c>
      <c r="D34" s="23">
        <v>364</v>
      </c>
      <c r="E34" s="7">
        <f t="shared" si="8"/>
        <v>10.4</v>
      </c>
      <c r="F34" s="41"/>
      <c r="G34" s="41"/>
      <c r="H34" s="41"/>
      <c r="I34" s="27">
        <v>317</v>
      </c>
      <c r="J34" s="27">
        <v>324</v>
      </c>
      <c r="K34" s="23">
        <v>329</v>
      </c>
      <c r="L34" s="23">
        <v>313</v>
      </c>
      <c r="M34" s="23">
        <v>241</v>
      </c>
      <c r="N34" s="8">
        <f t="shared" si="1"/>
        <v>0.51037344398340245</v>
      </c>
    </row>
    <row r="35" spans="1:14" ht="30" x14ac:dyDescent="0.25">
      <c r="A35" s="34" t="s">
        <v>24</v>
      </c>
      <c r="B35" s="36" t="s">
        <v>112</v>
      </c>
      <c r="C35" s="42"/>
      <c r="D35" s="42"/>
      <c r="E35" s="42"/>
      <c r="F35" s="4">
        <v>1933</v>
      </c>
      <c r="G35" s="4">
        <v>1972</v>
      </c>
      <c r="H35" s="4">
        <v>2865</v>
      </c>
      <c r="I35" s="16">
        <v>2556</v>
      </c>
      <c r="J35" s="16">
        <f>1491+2510+234</f>
        <v>4235</v>
      </c>
      <c r="K35" s="4">
        <v>4235</v>
      </c>
      <c r="L35" s="42"/>
      <c r="M35" s="42"/>
      <c r="N35" s="42"/>
    </row>
    <row r="36" spans="1:14" x14ac:dyDescent="0.25">
      <c r="A36" s="34"/>
      <c r="B36" s="36" t="s">
        <v>136</v>
      </c>
      <c r="C36" s="16">
        <f>60+80</f>
        <v>140</v>
      </c>
      <c r="D36" s="22">
        <f>1529+1461</f>
        <v>2990</v>
      </c>
      <c r="E36" s="7">
        <f t="shared" si="8"/>
        <v>21.357142857142858</v>
      </c>
      <c r="F36" s="42"/>
      <c r="G36" s="42"/>
      <c r="H36" s="42"/>
      <c r="I36" s="50"/>
      <c r="J36" s="50"/>
      <c r="K36" s="42"/>
      <c r="L36" s="22">
        <v>564</v>
      </c>
      <c r="M36" s="22">
        <v>2290</v>
      </c>
      <c r="N36" s="8">
        <f t="shared" si="1"/>
        <v>0.3056768558951965</v>
      </c>
    </row>
    <row r="37" spans="1:14" ht="30" x14ac:dyDescent="0.25">
      <c r="A37" s="34"/>
      <c r="B37" s="36" t="s">
        <v>125</v>
      </c>
      <c r="C37" s="16">
        <v>30</v>
      </c>
      <c r="D37" s="22">
        <v>436</v>
      </c>
      <c r="E37" s="7">
        <f t="shared" si="8"/>
        <v>14.533333333333333</v>
      </c>
      <c r="F37" s="42"/>
      <c r="G37" s="42"/>
      <c r="H37" s="42"/>
      <c r="I37" s="50"/>
      <c r="J37" s="50"/>
      <c r="K37" s="42"/>
      <c r="L37" s="22">
        <v>176</v>
      </c>
      <c r="M37" s="22">
        <v>226</v>
      </c>
      <c r="N37" s="8">
        <f t="shared" si="1"/>
        <v>0.92920353982300885</v>
      </c>
    </row>
    <row r="38" spans="1:14" ht="17.25" customHeight="1" x14ac:dyDescent="0.25">
      <c r="A38" s="34"/>
      <c r="B38" s="36" t="s">
        <v>137</v>
      </c>
      <c r="C38" s="16">
        <f>140+40</f>
        <v>180</v>
      </c>
      <c r="D38" s="4">
        <f>702+1962</f>
        <v>2664</v>
      </c>
      <c r="E38" s="7">
        <f t="shared" si="8"/>
        <v>14.8</v>
      </c>
      <c r="F38" s="42"/>
      <c r="G38" s="42"/>
      <c r="H38" s="42"/>
      <c r="I38" s="50"/>
      <c r="J38" s="50"/>
      <c r="K38" s="42"/>
      <c r="L38" s="4">
        <v>1213</v>
      </c>
      <c r="M38" s="4">
        <v>2393</v>
      </c>
      <c r="N38" s="8">
        <f t="shared" si="1"/>
        <v>0.11324697033012955</v>
      </c>
    </row>
    <row r="39" spans="1:14" ht="30" x14ac:dyDescent="0.25">
      <c r="A39" s="34"/>
      <c r="B39" s="36" t="s">
        <v>138</v>
      </c>
      <c r="C39" s="16">
        <f>70+40</f>
        <v>110</v>
      </c>
      <c r="D39" s="4">
        <f>1106+2030</f>
        <v>3136</v>
      </c>
      <c r="E39" s="7">
        <f t="shared" si="8"/>
        <v>28.509090909090908</v>
      </c>
      <c r="F39" s="42"/>
      <c r="G39" s="42"/>
      <c r="H39" s="42"/>
      <c r="I39" s="50"/>
      <c r="J39" s="50"/>
      <c r="K39" s="42"/>
      <c r="L39" s="4">
        <v>1165</v>
      </c>
      <c r="M39" s="4">
        <v>2789</v>
      </c>
      <c r="N39" s="8">
        <f t="shared" si="1"/>
        <v>0.12441735389028326</v>
      </c>
    </row>
    <row r="40" spans="1:14" ht="47.25" customHeight="1" x14ac:dyDescent="0.25">
      <c r="A40" s="34"/>
      <c r="B40" s="36" t="s">
        <v>127</v>
      </c>
      <c r="C40" s="16">
        <v>70</v>
      </c>
      <c r="D40" s="4">
        <v>825</v>
      </c>
      <c r="E40" s="7">
        <f t="shared" si="8"/>
        <v>11.785714285714286</v>
      </c>
      <c r="F40" s="42"/>
      <c r="G40" s="42"/>
      <c r="H40" s="42"/>
      <c r="I40" s="50"/>
      <c r="J40" s="50"/>
      <c r="K40" s="42"/>
      <c r="L40" s="4">
        <v>468</v>
      </c>
      <c r="M40" s="4">
        <v>537</v>
      </c>
      <c r="N40" s="8">
        <f t="shared" si="1"/>
        <v>0.53631284916201116</v>
      </c>
    </row>
    <row r="41" spans="1:14" x14ac:dyDescent="0.25">
      <c r="A41" s="34"/>
      <c r="B41" s="36" t="s">
        <v>128</v>
      </c>
      <c r="C41" s="16">
        <v>60</v>
      </c>
      <c r="D41" s="4">
        <v>981</v>
      </c>
      <c r="E41" s="7">
        <f t="shared" si="8"/>
        <v>16.350000000000001</v>
      </c>
      <c r="F41" s="42"/>
      <c r="G41" s="42"/>
      <c r="H41" s="42"/>
      <c r="I41" s="50"/>
      <c r="J41" s="50"/>
      <c r="K41" s="42"/>
      <c r="L41" s="4">
        <v>614</v>
      </c>
      <c r="M41" s="4">
        <v>915</v>
      </c>
      <c r="N41" s="8">
        <f t="shared" si="1"/>
        <v>7.2131147540983612E-2</v>
      </c>
    </row>
    <row r="42" spans="1:14" x14ac:dyDescent="0.25">
      <c r="A42" s="34"/>
      <c r="B42" s="36" t="s">
        <v>130</v>
      </c>
      <c r="C42" s="16">
        <v>30</v>
      </c>
      <c r="D42" s="4">
        <v>431</v>
      </c>
      <c r="E42" s="7">
        <f t="shared" si="8"/>
        <v>14.366666666666667</v>
      </c>
      <c r="F42" s="42"/>
      <c r="G42" s="42"/>
      <c r="H42" s="42"/>
      <c r="I42" s="50"/>
      <c r="J42" s="50"/>
      <c r="K42" s="42"/>
      <c r="L42" s="4">
        <v>224</v>
      </c>
      <c r="M42" s="4">
        <v>269</v>
      </c>
      <c r="N42" s="8">
        <f t="shared" si="1"/>
        <v>0.60223048327137552</v>
      </c>
    </row>
    <row r="43" spans="1:14" ht="45" x14ac:dyDescent="0.25">
      <c r="A43" s="34"/>
      <c r="B43" s="36" t="s">
        <v>129</v>
      </c>
      <c r="C43" s="42"/>
      <c r="D43" s="42"/>
      <c r="E43" s="42"/>
      <c r="F43" s="42"/>
      <c r="G43" s="42"/>
      <c r="H43" s="42"/>
      <c r="I43" s="50"/>
      <c r="J43" s="50"/>
      <c r="K43" s="42"/>
      <c r="L43" s="4">
        <v>953</v>
      </c>
      <c r="M43" s="42"/>
      <c r="N43" s="42"/>
    </row>
    <row r="44" spans="1:14" ht="30" x14ac:dyDescent="0.25">
      <c r="A44" s="34"/>
      <c r="B44" s="36" t="s">
        <v>132</v>
      </c>
      <c r="C44" s="50"/>
      <c r="D44" s="42"/>
      <c r="E44" s="49"/>
      <c r="F44" s="42"/>
      <c r="G44" s="42"/>
      <c r="H44" s="42"/>
      <c r="I44" s="50"/>
      <c r="J44" s="50"/>
      <c r="K44" s="42"/>
      <c r="L44" s="4">
        <v>327</v>
      </c>
      <c r="M44" s="32">
        <v>445</v>
      </c>
      <c r="N44" s="49"/>
    </row>
    <row r="45" spans="1:14" x14ac:dyDescent="0.25">
      <c r="A45" s="34" t="s">
        <v>24</v>
      </c>
      <c r="B45" s="36" t="s">
        <v>113</v>
      </c>
      <c r="C45" s="16">
        <v>40</v>
      </c>
      <c r="D45" s="4">
        <v>470</v>
      </c>
      <c r="E45" s="7">
        <f t="shared" si="8"/>
        <v>11.75</v>
      </c>
      <c r="F45" s="42"/>
      <c r="G45" s="42"/>
      <c r="H45" s="42"/>
      <c r="I45" s="50"/>
      <c r="J45" s="16">
        <v>183</v>
      </c>
      <c r="K45" s="4">
        <v>8</v>
      </c>
      <c r="L45" s="4">
        <v>436</v>
      </c>
      <c r="M45" s="4">
        <v>504</v>
      </c>
      <c r="N45" s="8">
        <f t="shared" si="1"/>
        <v>-6.7460317460317457E-2</v>
      </c>
    </row>
    <row r="46" spans="1:14" ht="30" x14ac:dyDescent="0.25">
      <c r="A46" s="34" t="s">
        <v>8</v>
      </c>
      <c r="B46" s="36" t="s">
        <v>114</v>
      </c>
      <c r="C46" s="16">
        <v>45</v>
      </c>
      <c r="D46" s="4">
        <v>629</v>
      </c>
      <c r="E46" s="7">
        <f t="shared" si="8"/>
        <v>13.977777777777778</v>
      </c>
      <c r="F46" s="42"/>
      <c r="G46" s="42"/>
      <c r="H46" s="42"/>
      <c r="I46" s="50"/>
      <c r="J46" s="16">
        <v>281</v>
      </c>
      <c r="K46" s="4">
        <v>9</v>
      </c>
      <c r="L46" s="4">
        <v>768</v>
      </c>
      <c r="M46" s="4">
        <v>755</v>
      </c>
      <c r="N46" s="8">
        <f t="shared" si="1"/>
        <v>-0.16688741721854305</v>
      </c>
    </row>
    <row r="47" spans="1:14" ht="30" x14ac:dyDescent="0.25">
      <c r="A47" s="34"/>
      <c r="B47" s="36" t="s">
        <v>122</v>
      </c>
      <c r="C47" s="16">
        <v>25</v>
      </c>
      <c r="D47" s="4">
        <v>526</v>
      </c>
      <c r="E47" s="7">
        <f>D47/C47</f>
        <v>21.04</v>
      </c>
      <c r="F47" s="42"/>
      <c r="G47" s="42"/>
      <c r="H47" s="42"/>
      <c r="I47" s="50"/>
      <c r="J47" s="50"/>
      <c r="K47" s="42"/>
      <c r="L47" s="4">
        <v>439</v>
      </c>
      <c r="M47" s="4">
        <v>425</v>
      </c>
      <c r="N47" s="8">
        <f t="shared" si="1"/>
        <v>0.23764705882352941</v>
      </c>
    </row>
    <row r="48" spans="1:14" ht="30" x14ac:dyDescent="0.25">
      <c r="A48" s="34"/>
      <c r="B48" s="36" t="s">
        <v>123</v>
      </c>
      <c r="C48" s="16">
        <v>40</v>
      </c>
      <c r="D48" s="4">
        <v>182</v>
      </c>
      <c r="E48" s="7">
        <f t="shared" ref="E48:E51" si="9">D48/C48</f>
        <v>4.55</v>
      </c>
      <c r="F48" s="42"/>
      <c r="G48" s="42"/>
      <c r="H48" s="42"/>
      <c r="I48" s="50"/>
      <c r="J48" s="50"/>
      <c r="K48" s="42"/>
      <c r="L48" s="4">
        <v>146</v>
      </c>
      <c r="M48" s="4">
        <v>162</v>
      </c>
      <c r="N48" s="8">
        <f t="shared" si="1"/>
        <v>0.12345679012345678</v>
      </c>
    </row>
    <row r="49" spans="1:14" ht="30" x14ac:dyDescent="0.25">
      <c r="A49" s="34"/>
      <c r="B49" s="36" t="s">
        <v>133</v>
      </c>
      <c r="C49" s="16">
        <v>45</v>
      </c>
      <c r="D49" s="4">
        <v>808</v>
      </c>
      <c r="E49" s="7">
        <f t="shared" si="9"/>
        <v>17.955555555555556</v>
      </c>
      <c r="F49" s="42"/>
      <c r="G49" s="42"/>
      <c r="H49" s="42"/>
      <c r="I49" s="50"/>
      <c r="J49" s="50"/>
      <c r="K49" s="42"/>
      <c r="L49" s="4">
        <v>552</v>
      </c>
      <c r="M49" s="4">
        <v>925</v>
      </c>
      <c r="N49" s="8">
        <f t="shared" si="1"/>
        <v>-0.1264864864864865</v>
      </c>
    </row>
    <row r="50" spans="1:14" ht="30" x14ac:dyDescent="0.25">
      <c r="A50" s="34" t="s">
        <v>141</v>
      </c>
      <c r="B50" s="36" t="s">
        <v>142</v>
      </c>
      <c r="C50" s="16">
        <v>40</v>
      </c>
      <c r="D50" s="4">
        <v>869</v>
      </c>
      <c r="E50" s="7">
        <f t="shared" si="9"/>
        <v>21.725000000000001</v>
      </c>
      <c r="F50" s="42"/>
      <c r="G50" s="42"/>
      <c r="H50" s="42"/>
      <c r="I50" s="50"/>
      <c r="J50" s="50"/>
      <c r="K50" s="42"/>
      <c r="L50" s="42"/>
      <c r="M50" s="42"/>
      <c r="N50" s="8" t="e">
        <f t="shared" si="1"/>
        <v>#DIV/0!</v>
      </c>
    </row>
    <row r="51" spans="1:14" x14ac:dyDescent="0.25">
      <c r="A51" s="34"/>
      <c r="B51" s="36" t="s">
        <v>143</v>
      </c>
      <c r="C51" s="16">
        <v>80</v>
      </c>
      <c r="D51" s="4">
        <v>1321</v>
      </c>
      <c r="E51" s="7">
        <f t="shared" si="9"/>
        <v>16.512499999999999</v>
      </c>
      <c r="F51" s="42"/>
      <c r="G51" s="42"/>
      <c r="H51" s="42"/>
      <c r="I51" s="50"/>
      <c r="J51" s="50"/>
      <c r="K51" s="42"/>
      <c r="L51" s="42"/>
      <c r="M51" s="42"/>
      <c r="N51" s="8" t="e">
        <f t="shared" si="1"/>
        <v>#DIV/0!</v>
      </c>
    </row>
    <row r="52" spans="1:14" x14ac:dyDescent="0.25">
      <c r="A52" s="69" t="s">
        <v>33</v>
      </c>
      <c r="B52" s="69"/>
      <c r="C52" s="67">
        <f>SUM(C3:C51)</f>
        <v>6484</v>
      </c>
      <c r="D52" s="67">
        <f>SUM(D3:D51)-D12-D21</f>
        <v>67580</v>
      </c>
      <c r="E52" s="9">
        <f t="shared" si="8"/>
        <v>10.422578655151142</v>
      </c>
      <c r="F52" s="67">
        <f>SUM(F3:F35)</f>
        <v>27775</v>
      </c>
      <c r="G52" s="67">
        <f>SUM(G3:G35)-G12-G21</f>
        <v>31388</v>
      </c>
      <c r="H52" s="67">
        <f>SUM(H3:H35)-H12-H21</f>
        <v>38690</v>
      </c>
      <c r="I52" s="67">
        <f>SUM(I3:I35)</f>
        <v>46929</v>
      </c>
      <c r="J52" s="67">
        <f>SUM(J3:J46)</f>
        <v>54650</v>
      </c>
      <c r="K52" s="67">
        <f>SUM(K3:K46)-K12-K21</f>
        <v>43830</v>
      </c>
      <c r="L52" s="67">
        <f>SUM(L3:L49)-L12-L21</f>
        <v>51483</v>
      </c>
      <c r="M52" s="67">
        <f>SUM(M3:M49)</f>
        <v>67980</v>
      </c>
      <c r="N52" s="43">
        <f t="shared" si="1"/>
        <v>-5.884083553986467E-3</v>
      </c>
    </row>
    <row r="54" spans="1:14" ht="23.25" x14ac:dyDescent="0.35">
      <c r="A54" s="68" t="s">
        <v>100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4" ht="30" x14ac:dyDescent="0.25">
      <c r="A55" s="29" t="s">
        <v>0</v>
      </c>
      <c r="B55" s="29" t="s">
        <v>1</v>
      </c>
      <c r="C55" s="29" t="s">
        <v>29</v>
      </c>
      <c r="D55" s="30" t="s">
        <v>140</v>
      </c>
      <c r="E55" s="30" t="s">
        <v>32</v>
      </c>
      <c r="F55" s="31" t="s">
        <v>31</v>
      </c>
      <c r="G55" s="31" t="s">
        <v>63</v>
      </c>
      <c r="H55" s="33" t="s">
        <v>72</v>
      </c>
      <c r="I55" s="44" t="s">
        <v>101</v>
      </c>
      <c r="J55" s="52" t="s">
        <v>107</v>
      </c>
      <c r="K55" s="60" t="s">
        <v>116</v>
      </c>
      <c r="L55" s="61" t="s">
        <v>119</v>
      </c>
      <c r="M55" s="62" t="s">
        <v>135</v>
      </c>
      <c r="N55" s="31" t="s">
        <v>35</v>
      </c>
    </row>
    <row r="56" spans="1:14" x14ac:dyDescent="0.25">
      <c r="A56" s="34" t="s">
        <v>8</v>
      </c>
      <c r="B56" s="17" t="s">
        <v>89</v>
      </c>
      <c r="C56" s="19">
        <v>35</v>
      </c>
      <c r="D56" s="20">
        <v>128</v>
      </c>
      <c r="E56" s="7">
        <f t="shared" ref="E56:E66" si="10">D56/C56</f>
        <v>3.657142857142857</v>
      </c>
      <c r="F56" s="42"/>
      <c r="G56" s="20">
        <v>146</v>
      </c>
      <c r="H56" s="20">
        <v>97</v>
      </c>
      <c r="I56" s="20">
        <v>91</v>
      </c>
      <c r="J56" s="20">
        <v>125</v>
      </c>
      <c r="K56" s="20">
        <v>108</v>
      </c>
      <c r="L56" s="20">
        <v>113</v>
      </c>
      <c r="M56" s="20">
        <v>121</v>
      </c>
      <c r="N56" s="8">
        <f t="shared" ref="N56:N66" si="11">(D56-M56)/M56</f>
        <v>5.7851239669421489E-2</v>
      </c>
    </row>
    <row r="57" spans="1:14" x14ac:dyDescent="0.25">
      <c r="A57" s="34" t="s">
        <v>8</v>
      </c>
      <c r="B57" s="17" t="s">
        <v>90</v>
      </c>
      <c r="C57" s="19">
        <v>45</v>
      </c>
      <c r="D57" s="20">
        <v>409</v>
      </c>
      <c r="E57" s="7">
        <f t="shared" si="10"/>
        <v>9.0888888888888886</v>
      </c>
      <c r="F57" s="42"/>
      <c r="G57" s="20">
        <v>184</v>
      </c>
      <c r="H57" s="20">
        <v>206</v>
      </c>
      <c r="I57" s="20">
        <v>261</v>
      </c>
      <c r="J57" s="20">
        <v>244</v>
      </c>
      <c r="K57" s="20">
        <v>405</v>
      </c>
      <c r="L57" s="20">
        <v>317</v>
      </c>
      <c r="M57" s="20">
        <v>490</v>
      </c>
      <c r="N57" s="8">
        <f t="shared" si="11"/>
        <v>-0.1653061224489796</v>
      </c>
    </row>
    <row r="58" spans="1:14" x14ac:dyDescent="0.25">
      <c r="A58" s="34" t="s">
        <v>8</v>
      </c>
      <c r="B58" s="17" t="s">
        <v>91</v>
      </c>
      <c r="C58" s="19">
        <v>40</v>
      </c>
      <c r="D58" s="20">
        <v>363</v>
      </c>
      <c r="E58" s="7">
        <f t="shared" si="10"/>
        <v>9.0749999999999993</v>
      </c>
      <c r="F58" s="42"/>
      <c r="G58" s="20">
        <v>231</v>
      </c>
      <c r="H58" s="20">
        <v>245</v>
      </c>
      <c r="I58" s="20">
        <v>238</v>
      </c>
      <c r="J58" s="20">
        <v>265</v>
      </c>
      <c r="K58" s="20">
        <v>230</v>
      </c>
      <c r="L58" s="20">
        <v>253</v>
      </c>
      <c r="M58" s="20">
        <v>299</v>
      </c>
      <c r="N58" s="8">
        <f t="shared" si="11"/>
        <v>0.21404682274247491</v>
      </c>
    </row>
    <row r="59" spans="1:14" x14ac:dyDescent="0.25">
      <c r="A59" s="34" t="s">
        <v>8</v>
      </c>
      <c r="B59" s="17" t="s">
        <v>92</v>
      </c>
      <c r="C59" s="19">
        <v>105</v>
      </c>
      <c r="D59" s="20">
        <v>1037</v>
      </c>
      <c r="E59" s="7">
        <f t="shared" si="10"/>
        <v>9.8761904761904766</v>
      </c>
      <c r="F59" s="42"/>
      <c r="G59" s="20">
        <v>957</v>
      </c>
      <c r="H59" s="20">
        <v>973</v>
      </c>
      <c r="I59" s="20">
        <v>884</v>
      </c>
      <c r="J59" s="20">
        <v>912</v>
      </c>
      <c r="K59" s="20">
        <v>920</v>
      </c>
      <c r="L59" s="20">
        <v>929</v>
      </c>
      <c r="M59" s="20">
        <v>1000</v>
      </c>
      <c r="N59" s="8">
        <f t="shared" si="11"/>
        <v>3.6999999999999998E-2</v>
      </c>
    </row>
    <row r="60" spans="1:14" x14ac:dyDescent="0.25">
      <c r="A60" s="34" t="s">
        <v>8</v>
      </c>
      <c r="B60" s="17" t="s">
        <v>93</v>
      </c>
      <c r="C60" s="19">
        <v>60</v>
      </c>
      <c r="D60" s="20">
        <v>529</v>
      </c>
      <c r="E60" s="7">
        <f t="shared" si="10"/>
        <v>8.8166666666666664</v>
      </c>
      <c r="F60" s="42"/>
      <c r="G60" s="20">
        <v>387</v>
      </c>
      <c r="H60" s="20">
        <v>401</v>
      </c>
      <c r="I60" s="20">
        <v>366</v>
      </c>
      <c r="J60" s="20">
        <v>469</v>
      </c>
      <c r="K60" s="20">
        <v>465</v>
      </c>
      <c r="L60" s="20">
        <v>402</v>
      </c>
      <c r="M60" s="20">
        <v>454</v>
      </c>
      <c r="N60" s="8">
        <f t="shared" si="11"/>
        <v>0.16519823788546256</v>
      </c>
    </row>
    <row r="61" spans="1:14" x14ac:dyDescent="0.25">
      <c r="A61" s="34" t="s">
        <v>8</v>
      </c>
      <c r="B61" s="17" t="s">
        <v>94</v>
      </c>
      <c r="C61" s="19">
        <v>30</v>
      </c>
      <c r="D61" s="20">
        <v>285</v>
      </c>
      <c r="E61" s="7">
        <f t="shared" si="10"/>
        <v>9.5</v>
      </c>
      <c r="F61" s="42"/>
      <c r="G61" s="20">
        <v>83</v>
      </c>
      <c r="H61" s="20">
        <v>127</v>
      </c>
      <c r="I61" s="20">
        <v>100</v>
      </c>
      <c r="J61" s="20">
        <v>111</v>
      </c>
      <c r="K61" s="20">
        <v>106</v>
      </c>
      <c r="L61" s="20">
        <v>153</v>
      </c>
      <c r="M61" s="20">
        <v>139</v>
      </c>
      <c r="N61" s="8">
        <f t="shared" si="11"/>
        <v>1.0503597122302157</v>
      </c>
    </row>
    <row r="62" spans="1:14" x14ac:dyDescent="0.25">
      <c r="A62" s="34" t="s">
        <v>8</v>
      </c>
      <c r="B62" s="17" t="s">
        <v>95</v>
      </c>
      <c r="C62" s="19">
        <v>45</v>
      </c>
      <c r="D62" s="20">
        <v>281</v>
      </c>
      <c r="E62" s="7">
        <f t="shared" si="10"/>
        <v>6.2444444444444445</v>
      </c>
      <c r="F62" s="42"/>
      <c r="G62" s="20">
        <v>178</v>
      </c>
      <c r="H62" s="20">
        <v>239</v>
      </c>
      <c r="I62" s="20">
        <v>232</v>
      </c>
      <c r="J62" s="20">
        <v>222</v>
      </c>
      <c r="K62" s="20">
        <v>180</v>
      </c>
      <c r="L62" s="20">
        <v>241</v>
      </c>
      <c r="M62" s="20">
        <v>300</v>
      </c>
      <c r="N62" s="8">
        <f t="shared" si="11"/>
        <v>-6.3333333333333339E-2</v>
      </c>
    </row>
    <row r="63" spans="1:14" x14ac:dyDescent="0.25">
      <c r="A63" s="34" t="s">
        <v>8</v>
      </c>
      <c r="B63" s="38" t="s">
        <v>96</v>
      </c>
      <c r="C63" s="50"/>
      <c r="D63" s="42"/>
      <c r="E63" s="49"/>
      <c r="F63" s="42"/>
      <c r="G63" s="20">
        <v>20</v>
      </c>
      <c r="H63" s="20">
        <v>40</v>
      </c>
      <c r="I63" s="20">
        <v>12</v>
      </c>
      <c r="J63" s="20">
        <v>13</v>
      </c>
      <c r="K63" s="42"/>
      <c r="L63" s="42"/>
      <c r="M63" s="42"/>
      <c r="N63" s="42"/>
    </row>
    <row r="64" spans="1:14" x14ac:dyDescent="0.25">
      <c r="A64" s="34" t="s">
        <v>8</v>
      </c>
      <c r="B64" s="38" t="s">
        <v>97</v>
      </c>
      <c r="C64" s="19">
        <v>180</v>
      </c>
      <c r="D64" s="20">
        <v>1224</v>
      </c>
      <c r="E64" s="7">
        <f t="shared" si="10"/>
        <v>6.8</v>
      </c>
      <c r="F64" s="42"/>
      <c r="G64" s="20">
        <v>760</v>
      </c>
      <c r="H64" s="20">
        <v>933</v>
      </c>
      <c r="I64" s="20">
        <v>1001</v>
      </c>
      <c r="J64" s="20">
        <v>1287</v>
      </c>
      <c r="K64" s="20">
        <v>1173</v>
      </c>
      <c r="L64" s="20">
        <v>1159</v>
      </c>
      <c r="M64" s="20">
        <v>1447</v>
      </c>
      <c r="N64" s="8">
        <f t="shared" si="11"/>
        <v>-0.15411195577055978</v>
      </c>
    </row>
    <row r="65" spans="1:14" x14ac:dyDescent="0.25">
      <c r="A65" s="34" t="s">
        <v>8</v>
      </c>
      <c r="B65" s="38" t="s">
        <v>98</v>
      </c>
      <c r="C65" s="19">
        <v>60</v>
      </c>
      <c r="D65" s="20">
        <v>196</v>
      </c>
      <c r="E65" s="7">
        <f t="shared" si="10"/>
        <v>3.2666666666666666</v>
      </c>
      <c r="F65" s="42"/>
      <c r="G65" s="20">
        <v>207</v>
      </c>
      <c r="H65" s="20">
        <v>181</v>
      </c>
      <c r="I65" s="20">
        <v>256</v>
      </c>
      <c r="J65" s="20">
        <v>326</v>
      </c>
      <c r="K65" s="20">
        <v>173</v>
      </c>
      <c r="L65" s="20">
        <v>221</v>
      </c>
      <c r="M65" s="20">
        <v>174</v>
      </c>
      <c r="N65" s="8">
        <f t="shared" si="11"/>
        <v>0.12643678160919541</v>
      </c>
    </row>
    <row r="66" spans="1:14" x14ac:dyDescent="0.25">
      <c r="A66" s="34" t="s">
        <v>8</v>
      </c>
      <c r="B66" s="38" t="s">
        <v>99</v>
      </c>
      <c r="C66" s="19">
        <v>60</v>
      </c>
      <c r="D66" s="20">
        <v>154</v>
      </c>
      <c r="E66" s="7">
        <f t="shared" si="10"/>
        <v>2.5666666666666669</v>
      </c>
      <c r="F66" s="42"/>
      <c r="G66" s="20">
        <v>125</v>
      </c>
      <c r="H66" s="20">
        <v>152</v>
      </c>
      <c r="I66" s="20">
        <v>131</v>
      </c>
      <c r="J66" s="20">
        <v>146</v>
      </c>
      <c r="K66" s="20">
        <v>114</v>
      </c>
      <c r="L66" s="20">
        <v>158</v>
      </c>
      <c r="M66" s="20">
        <v>116</v>
      </c>
      <c r="N66" s="8">
        <f t="shared" si="11"/>
        <v>0.32758620689655171</v>
      </c>
    </row>
  </sheetData>
  <autoFilter ref="A2:O2" xr:uid="{1028AC35-416D-4E7F-B97A-878B588446BC}"/>
  <mergeCells count="3">
    <mergeCell ref="A1:N1"/>
    <mergeCell ref="A52:B52"/>
    <mergeCell ref="A54:N54"/>
  </mergeCells>
  <conditionalFormatting sqref="E3:E7 E9:E34 E36:E42 E44:E52">
    <cfRule type="cellIs" dxfId="24" priority="15" operator="greaterThan">
      <formula>1</formula>
    </cfRule>
  </conditionalFormatting>
  <conditionalFormatting sqref="N3:N4 N6:N7 N9:N34 N36:N42 N44:N51">
    <cfRule type="cellIs" dxfId="23" priority="13" operator="greaterThan">
      <formula>0</formula>
    </cfRule>
  </conditionalFormatting>
  <conditionalFormatting sqref="E56:E62">
    <cfRule type="cellIs" dxfId="22" priority="12" operator="greaterThan">
      <formula>1</formula>
    </cfRule>
  </conditionalFormatting>
  <conditionalFormatting sqref="E63:E66">
    <cfRule type="cellIs" dxfId="21" priority="10" operator="greaterThan">
      <formula>1</formula>
    </cfRule>
  </conditionalFormatting>
  <conditionalFormatting sqref="N56:N62">
    <cfRule type="cellIs" dxfId="20" priority="5" operator="greaterThan">
      <formula>0</formula>
    </cfRule>
  </conditionalFormatting>
  <conditionalFormatting sqref="N64">
    <cfRule type="cellIs" dxfId="19" priority="4" operator="greaterThan">
      <formula>0</formula>
    </cfRule>
  </conditionalFormatting>
  <conditionalFormatting sqref="N65">
    <cfRule type="cellIs" dxfId="18" priority="3" operator="greaterThan">
      <formula>0</formula>
    </cfRule>
  </conditionalFormatting>
  <conditionalFormatting sqref="N66">
    <cfRule type="cellIs" dxfId="17" priority="2" operator="greaterThan">
      <formula>0</formula>
    </cfRule>
  </conditionalFormatting>
  <conditionalFormatting sqref="N52">
    <cfRule type="cellIs" dxfId="16" priority="1" operator="greaterThan">
      <formula>0</formula>
    </cfRule>
  </conditionalFormatting>
  <pageMargins left="0.7" right="0.7" top="0.75" bottom="0.75" header="0.3" footer="0.3"/>
  <pageSetup paperSize="9" fitToWidth="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>
      <selection sqref="A1:L1"/>
    </sheetView>
  </sheetViews>
  <sheetFormatPr baseColWidth="10" defaultRowHeight="15" x14ac:dyDescent="0.25"/>
  <cols>
    <col min="1" max="1" width="18.5703125" customWidth="1"/>
    <col min="2" max="2" width="44" customWidth="1"/>
    <col min="5" max="5" width="17.7109375" bestFit="1" customWidth="1"/>
    <col min="12" max="12" width="17.7109375" bestFit="1" customWidth="1"/>
  </cols>
  <sheetData>
    <row r="1" spans="1:12" ht="23.25" x14ac:dyDescent="0.35">
      <c r="A1" s="73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30" x14ac:dyDescent="0.25">
      <c r="A2" s="15" t="s">
        <v>73</v>
      </c>
      <c r="B2" s="15" t="s">
        <v>77</v>
      </c>
      <c r="C2" s="15" t="s">
        <v>29</v>
      </c>
      <c r="D2" s="39" t="s">
        <v>140</v>
      </c>
      <c r="E2" s="39" t="s">
        <v>32</v>
      </c>
      <c r="F2" s="40" t="s">
        <v>72</v>
      </c>
      <c r="G2" s="44" t="s">
        <v>101</v>
      </c>
      <c r="H2" s="52" t="s">
        <v>107</v>
      </c>
      <c r="I2" s="60" t="s">
        <v>116</v>
      </c>
      <c r="J2" s="61" t="s">
        <v>119</v>
      </c>
      <c r="K2" s="62" t="s">
        <v>135</v>
      </c>
      <c r="L2" s="40" t="s">
        <v>35</v>
      </c>
    </row>
    <row r="3" spans="1:12" x14ac:dyDescent="0.25">
      <c r="A3" s="70" t="s">
        <v>74</v>
      </c>
      <c r="B3" s="53" t="s">
        <v>21</v>
      </c>
      <c r="C3" s="50"/>
      <c r="D3" s="50"/>
      <c r="E3" s="49"/>
      <c r="F3" s="4">
        <v>1105</v>
      </c>
      <c r="G3" s="16">
        <v>2044</v>
      </c>
      <c r="H3" s="50"/>
      <c r="I3" s="50"/>
      <c r="J3" s="50"/>
      <c r="K3" s="50"/>
      <c r="L3" s="49"/>
    </row>
    <row r="4" spans="1:12" x14ac:dyDescent="0.25">
      <c r="A4" s="70"/>
      <c r="B4" s="50" t="s">
        <v>22</v>
      </c>
      <c r="C4" s="42"/>
      <c r="D4" s="42"/>
      <c r="E4" s="49"/>
      <c r="F4" s="4">
        <v>2809</v>
      </c>
      <c r="G4" s="4">
        <v>4012</v>
      </c>
      <c r="H4" s="42"/>
      <c r="I4" s="42"/>
      <c r="J4" s="42"/>
      <c r="K4" s="42"/>
      <c r="L4" s="49"/>
    </row>
    <row r="5" spans="1:12" x14ac:dyDescent="0.25">
      <c r="A5" s="70"/>
      <c r="B5" s="50" t="s">
        <v>30</v>
      </c>
      <c r="C5" s="42"/>
      <c r="D5" s="42"/>
      <c r="E5" s="49"/>
      <c r="F5" s="4">
        <v>824</v>
      </c>
      <c r="G5" s="4">
        <v>1766</v>
      </c>
      <c r="H5" s="42"/>
      <c r="I5" s="42"/>
      <c r="J5" s="42"/>
      <c r="K5" s="42"/>
      <c r="L5" s="49"/>
    </row>
    <row r="6" spans="1:12" x14ac:dyDescent="0.25">
      <c r="A6" s="70"/>
      <c r="B6" s="50" t="s">
        <v>75</v>
      </c>
      <c r="C6" s="42"/>
      <c r="D6" s="42"/>
      <c r="E6" s="49"/>
      <c r="F6" s="4">
        <v>1502</v>
      </c>
      <c r="G6" s="4">
        <v>2474</v>
      </c>
      <c r="H6" s="42"/>
      <c r="I6" s="42"/>
      <c r="J6" s="42"/>
      <c r="K6" s="42"/>
      <c r="L6" s="49"/>
    </row>
    <row r="7" spans="1:12" x14ac:dyDescent="0.25">
      <c r="A7" s="70"/>
      <c r="B7" s="50" t="s">
        <v>76</v>
      </c>
      <c r="C7" s="42"/>
      <c r="D7" s="42"/>
      <c r="E7" s="49"/>
      <c r="F7" s="4">
        <v>1805</v>
      </c>
      <c r="G7" s="4">
        <v>2532</v>
      </c>
      <c r="H7" s="42"/>
      <c r="I7" s="42"/>
      <c r="J7" s="42"/>
      <c r="K7" s="42"/>
      <c r="L7" s="49"/>
    </row>
    <row r="8" spans="1:12" x14ac:dyDescent="0.25">
      <c r="A8" s="70"/>
      <c r="B8" s="50" t="s">
        <v>12</v>
      </c>
      <c r="C8" s="42"/>
      <c r="D8" s="42"/>
      <c r="E8" s="49"/>
      <c r="F8" s="4">
        <v>696</v>
      </c>
      <c r="G8" s="4">
        <v>1495</v>
      </c>
      <c r="H8" s="42"/>
      <c r="I8" s="42"/>
      <c r="J8" s="42"/>
      <c r="K8" s="42"/>
      <c r="L8" s="49"/>
    </row>
    <row r="9" spans="1:12" x14ac:dyDescent="0.25">
      <c r="A9" s="70"/>
      <c r="B9" s="50" t="s">
        <v>79</v>
      </c>
      <c r="C9" s="42"/>
      <c r="D9" s="42"/>
      <c r="E9" s="54"/>
      <c r="F9" s="75">
        <v>3573</v>
      </c>
      <c r="G9" s="4">
        <v>2594</v>
      </c>
      <c r="H9" s="42"/>
      <c r="I9" s="42"/>
      <c r="J9" s="42"/>
      <c r="K9" s="42"/>
      <c r="L9" s="49"/>
    </row>
    <row r="10" spans="1:12" x14ac:dyDescent="0.25">
      <c r="A10" s="70"/>
      <c r="B10" s="50" t="s">
        <v>3</v>
      </c>
      <c r="C10" s="42"/>
      <c r="D10" s="42"/>
      <c r="E10" s="55"/>
      <c r="F10" s="76"/>
      <c r="G10" s="4">
        <v>5172</v>
      </c>
      <c r="H10" s="42"/>
      <c r="I10" s="42"/>
      <c r="J10" s="42"/>
      <c r="K10" s="42"/>
      <c r="L10" s="49"/>
    </row>
    <row r="11" spans="1:12" x14ac:dyDescent="0.25">
      <c r="A11" s="70"/>
      <c r="B11" s="50" t="s">
        <v>6</v>
      </c>
      <c r="C11" s="42"/>
      <c r="D11" s="42"/>
      <c r="E11" s="49"/>
      <c r="F11" s="4">
        <v>2411</v>
      </c>
      <c r="G11" s="4">
        <v>3448</v>
      </c>
      <c r="H11" s="42"/>
      <c r="I11" s="42"/>
      <c r="J11" s="42"/>
      <c r="K11" s="42"/>
      <c r="L11" s="49"/>
    </row>
    <row r="12" spans="1:12" x14ac:dyDescent="0.25">
      <c r="A12" s="71" t="s">
        <v>78</v>
      </c>
      <c r="B12" s="20" t="s">
        <v>12</v>
      </c>
      <c r="C12" s="4">
        <v>90</v>
      </c>
      <c r="D12" s="4">
        <v>1086</v>
      </c>
      <c r="E12" s="7">
        <f t="shared" ref="E12:E27" si="0">D12/C12</f>
        <v>12.066666666666666</v>
      </c>
      <c r="F12" s="4">
        <v>119</v>
      </c>
      <c r="G12" s="4">
        <v>197</v>
      </c>
      <c r="H12" s="4">
        <v>507</v>
      </c>
      <c r="I12" s="4">
        <v>662</v>
      </c>
      <c r="J12" s="4">
        <v>906</v>
      </c>
      <c r="K12" s="4">
        <v>1025</v>
      </c>
      <c r="L12" s="8">
        <f>(D12-K12)/K12</f>
        <v>5.9512195121951217E-2</v>
      </c>
    </row>
    <row r="13" spans="1:12" x14ac:dyDescent="0.25">
      <c r="A13" s="71"/>
      <c r="B13" s="20" t="s">
        <v>76</v>
      </c>
      <c r="C13" s="4">
        <v>102</v>
      </c>
      <c r="D13" s="4">
        <v>1227</v>
      </c>
      <c r="E13" s="7">
        <f t="shared" si="0"/>
        <v>12.029411764705882</v>
      </c>
      <c r="F13" s="4">
        <v>1049</v>
      </c>
      <c r="G13" s="4">
        <v>929</v>
      </c>
      <c r="H13" s="4">
        <v>1140</v>
      </c>
      <c r="I13" s="4">
        <v>1215</v>
      </c>
      <c r="J13" s="4">
        <v>1079</v>
      </c>
      <c r="K13" s="4">
        <v>1285</v>
      </c>
      <c r="L13" s="8">
        <f>(D13-K13)/K13</f>
        <v>-4.5136186770428015E-2</v>
      </c>
    </row>
    <row r="14" spans="1:12" x14ac:dyDescent="0.25">
      <c r="A14" s="71"/>
      <c r="B14" s="20" t="s">
        <v>75</v>
      </c>
      <c r="C14" s="4">
        <v>110</v>
      </c>
      <c r="D14" s="4">
        <v>2160</v>
      </c>
      <c r="E14" s="7">
        <f t="shared" si="0"/>
        <v>19.636363636363637</v>
      </c>
      <c r="F14" s="4">
        <v>765</v>
      </c>
      <c r="G14" s="4">
        <v>874</v>
      </c>
      <c r="H14" s="4">
        <v>1433</v>
      </c>
      <c r="I14" s="4">
        <v>1387</v>
      </c>
      <c r="J14" s="4">
        <v>1676</v>
      </c>
      <c r="K14" s="4">
        <v>2034</v>
      </c>
      <c r="L14" s="8">
        <f>(D14-K14)/K14</f>
        <v>6.1946902654867256E-2</v>
      </c>
    </row>
    <row r="15" spans="1:12" x14ac:dyDescent="0.25">
      <c r="A15" s="71"/>
      <c r="B15" s="20" t="s">
        <v>79</v>
      </c>
      <c r="C15" s="49"/>
      <c r="D15" s="49"/>
      <c r="E15" s="49"/>
      <c r="F15" s="4">
        <v>1240</v>
      </c>
      <c r="G15" s="4">
        <v>1127</v>
      </c>
      <c r="H15" s="4">
        <v>1491</v>
      </c>
      <c r="I15" s="4">
        <v>1502</v>
      </c>
      <c r="J15" s="4">
        <v>953</v>
      </c>
      <c r="K15" s="49"/>
      <c r="L15" s="49"/>
    </row>
    <row r="16" spans="1:12" x14ac:dyDescent="0.25">
      <c r="A16" s="71"/>
      <c r="B16" s="20" t="s">
        <v>124</v>
      </c>
      <c r="C16" s="4">
        <v>80</v>
      </c>
      <c r="D16" s="4">
        <v>1529</v>
      </c>
      <c r="E16" s="7"/>
      <c r="F16" s="49"/>
      <c r="G16" s="49"/>
      <c r="H16" s="49"/>
      <c r="I16" s="49"/>
      <c r="J16" s="49"/>
      <c r="K16" s="4">
        <v>1173</v>
      </c>
      <c r="L16" s="8">
        <f t="shared" ref="L16:L21" si="1">(D16-K16)/K16</f>
        <v>0.30349531116794543</v>
      </c>
    </row>
    <row r="17" spans="1:12" x14ac:dyDescent="0.25">
      <c r="A17" s="71"/>
      <c r="B17" s="20" t="s">
        <v>46</v>
      </c>
      <c r="C17" s="4">
        <v>40</v>
      </c>
      <c r="D17" s="4">
        <v>702</v>
      </c>
      <c r="E17" s="7"/>
      <c r="F17" s="49"/>
      <c r="G17" s="49"/>
      <c r="H17" s="49"/>
      <c r="I17" s="49"/>
      <c r="J17" s="49"/>
      <c r="K17" s="4">
        <v>636</v>
      </c>
      <c r="L17" s="8">
        <f t="shared" si="1"/>
        <v>0.10377358490566038</v>
      </c>
    </row>
    <row r="18" spans="1:12" x14ac:dyDescent="0.25">
      <c r="A18" s="71"/>
      <c r="B18" s="20" t="s">
        <v>126</v>
      </c>
      <c r="C18" s="4">
        <v>40</v>
      </c>
      <c r="D18" s="4">
        <v>1106</v>
      </c>
      <c r="E18" s="7"/>
      <c r="F18" s="49"/>
      <c r="G18" s="49"/>
      <c r="H18" s="49"/>
      <c r="I18" s="49"/>
      <c r="J18" s="49"/>
      <c r="K18" s="4">
        <v>1003</v>
      </c>
      <c r="L18" s="8">
        <f t="shared" si="1"/>
        <v>0.10269192422731804</v>
      </c>
    </row>
    <row r="19" spans="1:12" x14ac:dyDescent="0.25">
      <c r="A19" s="71"/>
      <c r="B19" s="20" t="s">
        <v>3</v>
      </c>
      <c r="C19" s="4">
        <v>144</v>
      </c>
      <c r="D19" s="4">
        <v>3355</v>
      </c>
      <c r="E19" s="7">
        <f t="shared" si="0"/>
        <v>23.298611111111111</v>
      </c>
      <c r="F19" s="4">
        <v>1952</v>
      </c>
      <c r="G19" s="4">
        <v>2214</v>
      </c>
      <c r="H19" s="4">
        <v>2384</v>
      </c>
      <c r="I19" s="4">
        <v>2174</v>
      </c>
      <c r="J19" s="4">
        <v>2606</v>
      </c>
      <c r="K19" s="4">
        <v>3249</v>
      </c>
      <c r="L19" s="8">
        <f t="shared" si="1"/>
        <v>3.2625423207140659E-2</v>
      </c>
    </row>
    <row r="20" spans="1:12" x14ac:dyDescent="0.25">
      <c r="A20" s="71"/>
      <c r="B20" s="20" t="s">
        <v>6</v>
      </c>
      <c r="C20" s="4">
        <v>180</v>
      </c>
      <c r="D20" s="4">
        <v>2495</v>
      </c>
      <c r="E20" s="7">
        <f t="shared" si="0"/>
        <v>13.861111111111111</v>
      </c>
      <c r="F20" s="4">
        <v>2197</v>
      </c>
      <c r="G20" s="4">
        <v>2094</v>
      </c>
      <c r="H20" s="4">
        <v>2912</v>
      </c>
      <c r="I20" s="4">
        <v>2248</v>
      </c>
      <c r="J20" s="4">
        <v>2452</v>
      </c>
      <c r="K20" s="4">
        <v>2094</v>
      </c>
      <c r="L20" s="8">
        <f t="shared" si="1"/>
        <v>0.19149952244508117</v>
      </c>
    </row>
    <row r="21" spans="1:12" x14ac:dyDescent="0.25">
      <c r="A21" s="71"/>
      <c r="B21" s="20" t="s">
        <v>21</v>
      </c>
      <c r="C21" s="4">
        <v>90</v>
      </c>
      <c r="D21" s="4">
        <v>1136</v>
      </c>
      <c r="E21" s="7">
        <f t="shared" si="0"/>
        <v>12.622222222222222</v>
      </c>
      <c r="F21" s="4">
        <v>267</v>
      </c>
      <c r="G21" s="4">
        <v>323</v>
      </c>
      <c r="H21" s="4">
        <v>981</v>
      </c>
      <c r="I21" s="4">
        <v>775</v>
      </c>
      <c r="J21" s="4">
        <v>887</v>
      </c>
      <c r="K21" s="4">
        <v>1114</v>
      </c>
      <c r="L21" s="8">
        <f t="shared" si="1"/>
        <v>1.9748653500897665E-2</v>
      </c>
    </row>
    <row r="22" spans="1:12" x14ac:dyDescent="0.25">
      <c r="A22" s="71"/>
      <c r="B22" s="42" t="s">
        <v>30</v>
      </c>
      <c r="C22" s="42"/>
      <c r="D22" s="42"/>
      <c r="E22" s="49"/>
      <c r="F22" s="4">
        <v>116</v>
      </c>
      <c r="G22" s="4">
        <v>250</v>
      </c>
      <c r="H22" s="42"/>
      <c r="I22" s="42"/>
      <c r="J22" s="42"/>
      <c r="K22" s="42"/>
      <c r="L22" s="49"/>
    </row>
    <row r="23" spans="1:12" x14ac:dyDescent="0.25">
      <c r="A23" s="71"/>
      <c r="B23" s="20" t="s">
        <v>22</v>
      </c>
      <c r="C23" s="4">
        <v>135</v>
      </c>
      <c r="D23" s="4">
        <v>3998</v>
      </c>
      <c r="E23" s="7">
        <f t="shared" si="0"/>
        <v>29.614814814814814</v>
      </c>
      <c r="F23" s="4">
        <v>2280</v>
      </c>
      <c r="G23" s="4">
        <v>2597</v>
      </c>
      <c r="H23" s="4">
        <v>3335</v>
      </c>
      <c r="I23" s="4">
        <v>2769</v>
      </c>
      <c r="J23" s="4">
        <v>2990</v>
      </c>
      <c r="K23" s="4">
        <v>4331</v>
      </c>
      <c r="L23" s="8">
        <f>(D23-K23)/K23</f>
        <v>-7.688755483722004E-2</v>
      </c>
    </row>
    <row r="24" spans="1:12" x14ac:dyDescent="0.25">
      <c r="A24" s="71"/>
      <c r="B24" s="56" t="s">
        <v>36</v>
      </c>
      <c r="C24" s="42"/>
      <c r="D24" s="42"/>
      <c r="E24" s="49"/>
      <c r="F24" s="4">
        <v>299</v>
      </c>
      <c r="G24" s="4">
        <v>349</v>
      </c>
      <c r="H24" s="42"/>
      <c r="I24" s="42"/>
      <c r="J24" s="42"/>
      <c r="K24" s="42"/>
      <c r="L24" s="49"/>
    </row>
    <row r="25" spans="1:12" x14ac:dyDescent="0.25">
      <c r="A25" s="71"/>
      <c r="B25" s="56" t="s">
        <v>80</v>
      </c>
      <c r="C25" s="42"/>
      <c r="D25" s="42"/>
      <c r="E25" s="49"/>
      <c r="F25" s="4">
        <v>187</v>
      </c>
      <c r="G25" s="4">
        <v>320</v>
      </c>
      <c r="H25" s="42"/>
      <c r="I25" s="42"/>
      <c r="J25" s="42"/>
      <c r="K25" s="42"/>
      <c r="L25" s="49"/>
    </row>
    <row r="26" spans="1:12" ht="15.75" thickBot="1" x14ac:dyDescent="0.3">
      <c r="A26" s="72"/>
      <c r="B26" s="57" t="s">
        <v>23</v>
      </c>
      <c r="C26" s="41"/>
      <c r="D26" s="41"/>
      <c r="E26" s="58"/>
      <c r="F26" s="23">
        <v>365</v>
      </c>
      <c r="G26" s="23">
        <v>469</v>
      </c>
      <c r="H26" s="41"/>
      <c r="I26" s="41"/>
      <c r="J26" s="41"/>
      <c r="K26" s="41"/>
      <c r="L26" s="49"/>
    </row>
    <row r="27" spans="1:12" ht="15.75" thickBot="1" x14ac:dyDescent="0.3">
      <c r="A27" s="24" t="s">
        <v>33</v>
      </c>
      <c r="B27" s="25"/>
      <c r="C27" s="26">
        <f>SUM(C3:C26)</f>
        <v>1011</v>
      </c>
      <c r="D27" s="26">
        <f>SUM(D3:D26)</f>
        <v>18794</v>
      </c>
      <c r="E27" s="28">
        <f t="shared" si="0"/>
        <v>18.589515331355095</v>
      </c>
      <c r="F27" s="26">
        <f t="shared" ref="F27:K27" si="2">SUM(F3:F26)</f>
        <v>25561</v>
      </c>
      <c r="G27" s="26">
        <f t="shared" si="2"/>
        <v>37280</v>
      </c>
      <c r="H27" s="26">
        <f t="shared" si="2"/>
        <v>14183</v>
      </c>
      <c r="I27" s="26">
        <f t="shared" si="2"/>
        <v>12732</v>
      </c>
      <c r="J27" s="26">
        <f t="shared" si="2"/>
        <v>13549</v>
      </c>
      <c r="K27" s="26">
        <f t="shared" si="2"/>
        <v>17944</v>
      </c>
      <c r="L27" s="43">
        <f>(D27-K27)/K27</f>
        <v>4.736959429335711E-2</v>
      </c>
    </row>
    <row r="28" spans="1:12" ht="15.75" thickBot="1" x14ac:dyDescent="0.3">
      <c r="L28" s="26"/>
    </row>
  </sheetData>
  <mergeCells count="4">
    <mergeCell ref="A3:A11"/>
    <mergeCell ref="A12:A26"/>
    <mergeCell ref="A1:L1"/>
    <mergeCell ref="F9:F10"/>
  </mergeCells>
  <conditionalFormatting sqref="E3:E9 E11:E14 E16:E27">
    <cfRule type="cellIs" dxfId="15" priority="10" operator="greaterThan">
      <formula>1</formula>
    </cfRule>
  </conditionalFormatting>
  <conditionalFormatting sqref="L3:L14 L16:L26">
    <cfRule type="cellIs" dxfId="14" priority="9" operator="greaterThan">
      <formula>0</formula>
    </cfRule>
  </conditionalFormatting>
  <conditionalFormatting sqref="C15:E15">
    <cfRule type="cellIs" dxfId="13" priority="7" operator="greaterThan">
      <formula>1</formula>
    </cfRule>
  </conditionalFormatting>
  <conditionalFormatting sqref="L15">
    <cfRule type="cellIs" dxfId="12" priority="6" operator="greaterThan">
      <formula>1</formula>
    </cfRule>
  </conditionalFormatting>
  <conditionalFormatting sqref="F16:J18">
    <cfRule type="cellIs" dxfId="11" priority="5" operator="greaterThan">
      <formula>1</formula>
    </cfRule>
  </conditionalFormatting>
  <conditionalFormatting sqref="K15">
    <cfRule type="cellIs" dxfId="10" priority="2" operator="greaterThan">
      <formula>1</formula>
    </cfRule>
  </conditionalFormatting>
  <conditionalFormatting sqref="L27">
    <cfRule type="cellIs" dxfId="9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1"/>
  <sheetViews>
    <sheetView topLeftCell="A19" zoomScaleNormal="100" workbookViewId="0">
      <selection sqref="A1:N1"/>
    </sheetView>
  </sheetViews>
  <sheetFormatPr baseColWidth="10" defaultRowHeight="15" x14ac:dyDescent="0.25"/>
  <cols>
    <col min="1" max="1" width="11.140625" bestFit="1" customWidth="1"/>
    <col min="2" max="2" width="26" bestFit="1" customWidth="1"/>
    <col min="3" max="14" width="10.28515625" customWidth="1"/>
  </cols>
  <sheetData>
    <row r="1" spans="1:14" ht="23.25" x14ac:dyDescent="0.35">
      <c r="A1" s="68" t="s">
        <v>147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5" customFormat="1" ht="28.9" customHeight="1" x14ac:dyDescent="0.25">
      <c r="A2" s="79" t="s">
        <v>0</v>
      </c>
      <c r="B2" s="79" t="s">
        <v>1</v>
      </c>
      <c r="C2" s="79" t="s">
        <v>29</v>
      </c>
      <c r="D2" s="78" t="s">
        <v>140</v>
      </c>
      <c r="E2" s="78" t="s">
        <v>32</v>
      </c>
      <c r="F2" s="77" t="s">
        <v>31</v>
      </c>
      <c r="G2" s="77" t="s">
        <v>63</v>
      </c>
      <c r="H2" s="77" t="s">
        <v>72</v>
      </c>
      <c r="I2" s="77" t="s">
        <v>101</v>
      </c>
      <c r="J2" s="77" t="s">
        <v>107</v>
      </c>
      <c r="K2" s="77" t="s">
        <v>116</v>
      </c>
      <c r="L2" s="77" t="s">
        <v>119</v>
      </c>
      <c r="M2" s="77" t="s">
        <v>135</v>
      </c>
      <c r="N2" s="77" t="s">
        <v>35</v>
      </c>
    </row>
    <row r="3" spans="1:14" s="5" customFormat="1" x14ac:dyDescent="0.25">
      <c r="A3" s="79"/>
      <c r="B3" s="79"/>
      <c r="C3" s="79"/>
      <c r="D3" s="78"/>
      <c r="E3" s="78"/>
      <c r="F3" s="77"/>
      <c r="G3" s="77"/>
      <c r="H3" s="77"/>
      <c r="I3" s="77"/>
      <c r="J3" s="77"/>
      <c r="K3" s="77"/>
      <c r="L3" s="77"/>
      <c r="M3" s="77"/>
      <c r="N3" s="77"/>
    </row>
    <row r="4" spans="1:14" ht="32.450000000000003" customHeight="1" x14ac:dyDescent="0.25">
      <c r="A4" s="3" t="s">
        <v>2</v>
      </c>
      <c r="B4" s="3" t="s">
        <v>4</v>
      </c>
      <c r="C4" s="2">
        <v>35</v>
      </c>
      <c r="D4" s="4">
        <v>651</v>
      </c>
      <c r="E4" s="7">
        <f t="shared" ref="E4:E21" si="0">D4/C4</f>
        <v>18.600000000000001</v>
      </c>
      <c r="F4" s="4">
        <v>543</v>
      </c>
      <c r="G4" s="4">
        <v>775</v>
      </c>
      <c r="H4" s="4">
        <v>519</v>
      </c>
      <c r="I4" s="4">
        <v>879</v>
      </c>
      <c r="J4" s="4">
        <v>618</v>
      </c>
      <c r="K4" s="4">
        <v>649</v>
      </c>
      <c r="L4" s="4">
        <v>630</v>
      </c>
      <c r="M4" s="4">
        <v>671</v>
      </c>
      <c r="N4" s="8">
        <f>(D4-M4)/M4</f>
        <v>-2.9806259314456036E-2</v>
      </c>
    </row>
    <row r="5" spans="1:14" ht="32.450000000000003" customHeight="1" x14ac:dyDescent="0.25">
      <c r="A5" s="3" t="s">
        <v>2</v>
      </c>
      <c r="B5" s="3" t="s">
        <v>5</v>
      </c>
      <c r="C5" s="2">
        <v>35</v>
      </c>
      <c r="D5" s="4">
        <v>803</v>
      </c>
      <c r="E5" s="7">
        <f t="shared" si="0"/>
        <v>22.942857142857143</v>
      </c>
      <c r="F5" s="4">
        <v>693</v>
      </c>
      <c r="G5" s="4">
        <v>1042</v>
      </c>
      <c r="H5" s="4">
        <v>700</v>
      </c>
      <c r="I5" s="4">
        <v>989</v>
      </c>
      <c r="J5" s="4">
        <v>786</v>
      </c>
      <c r="K5" s="4">
        <v>709</v>
      </c>
      <c r="L5" s="4">
        <v>798</v>
      </c>
      <c r="M5" s="4">
        <v>849</v>
      </c>
      <c r="N5" s="8">
        <f>(D5-M5)/M5</f>
        <v>-5.418138987043581E-2</v>
      </c>
    </row>
    <row r="6" spans="1:14" ht="32.450000000000003" customHeight="1" x14ac:dyDescent="0.25">
      <c r="A6" s="1" t="s">
        <v>8</v>
      </c>
      <c r="B6" s="1" t="s">
        <v>15</v>
      </c>
      <c r="C6" s="18"/>
      <c r="D6" s="18"/>
      <c r="E6" s="59"/>
      <c r="F6" s="4">
        <v>225</v>
      </c>
      <c r="G6" s="4">
        <v>335</v>
      </c>
      <c r="H6" s="4">
        <v>200</v>
      </c>
      <c r="I6" s="4">
        <v>275</v>
      </c>
      <c r="J6" s="4">
        <v>245</v>
      </c>
      <c r="K6" s="18"/>
      <c r="L6" s="18"/>
      <c r="M6" s="18"/>
      <c r="N6" s="59"/>
    </row>
    <row r="7" spans="1:14" ht="32.450000000000003" customHeight="1" x14ac:dyDescent="0.25">
      <c r="A7" s="1" t="s">
        <v>28</v>
      </c>
      <c r="B7" s="1" t="s">
        <v>16</v>
      </c>
      <c r="C7" s="2">
        <v>35</v>
      </c>
      <c r="D7" s="4">
        <v>418</v>
      </c>
      <c r="E7" s="7">
        <f t="shared" si="0"/>
        <v>11.942857142857143</v>
      </c>
      <c r="F7" s="4">
        <v>321</v>
      </c>
      <c r="G7" s="4">
        <v>378</v>
      </c>
      <c r="H7" s="4">
        <v>287</v>
      </c>
      <c r="I7" s="4">
        <v>389</v>
      </c>
      <c r="J7" s="4">
        <v>395</v>
      </c>
      <c r="K7" s="4">
        <v>409</v>
      </c>
      <c r="L7" s="4">
        <v>364</v>
      </c>
      <c r="M7" s="4">
        <v>464</v>
      </c>
      <c r="N7" s="8">
        <f>(D7-M7)/M7</f>
        <v>-9.9137931034482762E-2</v>
      </c>
    </row>
    <row r="8" spans="1:14" ht="32.450000000000003" customHeight="1" x14ac:dyDescent="0.25">
      <c r="A8" s="1" t="s">
        <v>8</v>
      </c>
      <c r="B8" s="1" t="s">
        <v>17</v>
      </c>
      <c r="C8" s="2">
        <v>45</v>
      </c>
      <c r="D8" s="4">
        <v>931</v>
      </c>
      <c r="E8" s="7">
        <f t="shared" si="0"/>
        <v>20.68888888888889</v>
      </c>
      <c r="F8" s="4">
        <v>676</v>
      </c>
      <c r="G8" s="4">
        <v>964</v>
      </c>
      <c r="H8" s="4">
        <v>712</v>
      </c>
      <c r="I8" s="4">
        <v>887</v>
      </c>
      <c r="J8" s="4">
        <v>1011</v>
      </c>
      <c r="K8" s="4">
        <v>1112</v>
      </c>
      <c r="L8" s="4">
        <v>1144</v>
      </c>
      <c r="M8" s="4">
        <v>1187</v>
      </c>
      <c r="N8" s="8">
        <f>(D8-M8)/M8</f>
        <v>-0.21566975568660487</v>
      </c>
    </row>
    <row r="9" spans="1:14" ht="32.450000000000003" customHeight="1" x14ac:dyDescent="0.25">
      <c r="A9" s="1" t="s">
        <v>28</v>
      </c>
      <c r="B9" s="1" t="s">
        <v>18</v>
      </c>
      <c r="C9" s="2">
        <v>80</v>
      </c>
      <c r="D9" s="4">
        <v>1609</v>
      </c>
      <c r="E9" s="7">
        <f t="shared" si="0"/>
        <v>20.112500000000001</v>
      </c>
      <c r="F9" s="4">
        <v>864</v>
      </c>
      <c r="G9" s="4">
        <v>1097</v>
      </c>
      <c r="H9" s="4">
        <v>844</v>
      </c>
      <c r="I9" s="4">
        <v>1370</v>
      </c>
      <c r="J9" s="4">
        <v>1050</v>
      </c>
      <c r="K9" s="4">
        <v>2205</v>
      </c>
      <c r="L9" s="4">
        <v>1598</v>
      </c>
      <c r="M9" s="4">
        <v>1444</v>
      </c>
      <c r="N9" s="8">
        <f>(D9-M9)/M9</f>
        <v>0.11426592797783934</v>
      </c>
    </row>
    <row r="10" spans="1:14" ht="32.450000000000003" customHeight="1" x14ac:dyDescent="0.25">
      <c r="A10" s="1" t="s">
        <v>8</v>
      </c>
      <c r="B10" s="1" t="s">
        <v>64</v>
      </c>
      <c r="C10" s="18"/>
      <c r="D10" s="18"/>
      <c r="E10" s="59"/>
      <c r="F10" s="4">
        <v>158</v>
      </c>
      <c r="G10" s="4">
        <v>211</v>
      </c>
      <c r="H10" s="4">
        <v>137</v>
      </c>
      <c r="I10" s="4">
        <v>133</v>
      </c>
      <c r="J10" s="4">
        <v>115</v>
      </c>
      <c r="K10" s="18"/>
      <c r="L10" s="18"/>
      <c r="M10" s="18"/>
      <c r="N10" s="59"/>
    </row>
    <row r="11" spans="1:14" ht="32.450000000000003" customHeight="1" x14ac:dyDescent="0.25">
      <c r="A11" s="1" t="s">
        <v>8</v>
      </c>
      <c r="B11" s="1" t="s">
        <v>65</v>
      </c>
      <c r="C11" s="18"/>
      <c r="D11" s="18"/>
      <c r="E11" s="59"/>
      <c r="F11" s="18"/>
      <c r="G11" s="4">
        <v>74</v>
      </c>
      <c r="H11" s="4">
        <v>94</v>
      </c>
      <c r="I11" s="4">
        <v>109</v>
      </c>
      <c r="J11" s="4">
        <v>87</v>
      </c>
      <c r="K11" s="18"/>
      <c r="L11" s="18"/>
      <c r="M11" s="18"/>
      <c r="N11" s="59"/>
    </row>
    <row r="12" spans="1:14" ht="32.450000000000003" customHeight="1" x14ac:dyDescent="0.25">
      <c r="A12" s="3" t="s">
        <v>24</v>
      </c>
      <c r="B12" s="3" t="s">
        <v>25</v>
      </c>
      <c r="C12" s="2">
        <v>35</v>
      </c>
      <c r="D12" s="4">
        <v>885</v>
      </c>
      <c r="E12" s="7">
        <f t="shared" si="0"/>
        <v>25.285714285714285</v>
      </c>
      <c r="F12" s="4">
        <v>768</v>
      </c>
      <c r="G12" s="4">
        <v>905</v>
      </c>
      <c r="H12" s="4">
        <v>643</v>
      </c>
      <c r="I12" s="4">
        <v>724</v>
      </c>
      <c r="J12" s="4">
        <v>805</v>
      </c>
      <c r="K12" s="4">
        <v>1056</v>
      </c>
      <c r="L12" s="4">
        <v>754</v>
      </c>
      <c r="M12" s="4">
        <v>926</v>
      </c>
      <c r="N12" s="8">
        <f>(D12-M12)/M12</f>
        <v>-4.4276457883369327E-2</v>
      </c>
    </row>
    <row r="13" spans="1:14" ht="32.450000000000003" customHeight="1" x14ac:dyDescent="0.25">
      <c r="A13" s="3" t="s">
        <v>24</v>
      </c>
      <c r="B13" s="3" t="s">
        <v>26</v>
      </c>
      <c r="C13" s="2">
        <v>35</v>
      </c>
      <c r="D13" s="4">
        <v>1666</v>
      </c>
      <c r="E13" s="7">
        <f t="shared" si="0"/>
        <v>47.6</v>
      </c>
      <c r="F13" s="4">
        <v>798</v>
      </c>
      <c r="G13" s="4">
        <v>1021</v>
      </c>
      <c r="H13" s="4">
        <v>898</v>
      </c>
      <c r="I13" s="4">
        <v>1228</v>
      </c>
      <c r="J13" s="4">
        <v>1235</v>
      </c>
      <c r="K13" s="4">
        <v>1263</v>
      </c>
      <c r="L13" s="4">
        <v>1453</v>
      </c>
      <c r="M13" s="4">
        <v>1638</v>
      </c>
      <c r="N13" s="8">
        <f>(D13-M13)/M13</f>
        <v>1.7094017094017096E-2</v>
      </c>
    </row>
    <row r="14" spans="1:14" ht="32.450000000000003" customHeight="1" x14ac:dyDescent="0.25">
      <c r="A14" s="3" t="s">
        <v>24</v>
      </c>
      <c r="B14" s="3" t="s">
        <v>27</v>
      </c>
      <c r="C14" s="18"/>
      <c r="D14" s="18"/>
      <c r="E14" s="59"/>
      <c r="F14" s="4">
        <v>190</v>
      </c>
      <c r="G14" s="4">
        <v>289</v>
      </c>
      <c r="H14" s="4">
        <v>190</v>
      </c>
      <c r="I14" s="4">
        <v>175</v>
      </c>
      <c r="J14" s="4">
        <v>265</v>
      </c>
      <c r="K14" s="4">
        <v>157</v>
      </c>
      <c r="L14" s="18"/>
      <c r="M14" s="18"/>
      <c r="N14" s="59"/>
    </row>
    <row r="15" spans="1:14" ht="32.450000000000003" customHeight="1" x14ac:dyDescent="0.25">
      <c r="A15" s="3" t="s">
        <v>24</v>
      </c>
      <c r="B15" s="3" t="s">
        <v>66</v>
      </c>
      <c r="C15" s="2">
        <v>35</v>
      </c>
      <c r="D15" s="4">
        <v>385</v>
      </c>
      <c r="E15" s="7">
        <f t="shared" si="0"/>
        <v>11</v>
      </c>
      <c r="F15" s="18"/>
      <c r="G15" s="4">
        <v>440</v>
      </c>
      <c r="H15" s="4">
        <v>420</v>
      </c>
      <c r="I15" s="4">
        <v>292</v>
      </c>
      <c r="J15" s="4">
        <v>354</v>
      </c>
      <c r="K15" s="4">
        <v>502</v>
      </c>
      <c r="L15" s="4">
        <v>357</v>
      </c>
      <c r="M15" s="4">
        <v>396</v>
      </c>
      <c r="N15" s="8">
        <f>(D15-M15)/M15</f>
        <v>-2.7777777777777776E-2</v>
      </c>
    </row>
    <row r="16" spans="1:14" ht="60" x14ac:dyDescent="0.25">
      <c r="A16" s="3" t="s">
        <v>7</v>
      </c>
      <c r="B16" s="3" t="s">
        <v>67</v>
      </c>
      <c r="C16" s="2">
        <v>20</v>
      </c>
      <c r="D16" s="4">
        <v>56</v>
      </c>
      <c r="E16" s="7">
        <f t="shared" si="0"/>
        <v>2.8</v>
      </c>
      <c r="F16" s="18"/>
      <c r="G16" s="4">
        <v>88</v>
      </c>
      <c r="H16" s="4">
        <v>38</v>
      </c>
      <c r="I16" s="4">
        <v>80</v>
      </c>
      <c r="J16" s="4">
        <v>61</v>
      </c>
      <c r="K16" s="4">
        <v>50</v>
      </c>
      <c r="L16" s="4">
        <v>63</v>
      </c>
      <c r="M16" s="4">
        <v>55</v>
      </c>
      <c r="N16" s="8">
        <f>(D16-M16)/M16</f>
        <v>1.8181818181818181E-2</v>
      </c>
    </row>
    <row r="17" spans="1:14" ht="75" x14ac:dyDescent="0.25">
      <c r="A17" s="3" t="s">
        <v>8</v>
      </c>
      <c r="B17" s="3" t="s">
        <v>68</v>
      </c>
      <c r="C17" s="18"/>
      <c r="D17" s="18"/>
      <c r="E17" s="59"/>
      <c r="F17" s="18"/>
      <c r="G17" s="4">
        <v>37</v>
      </c>
      <c r="H17" s="4">
        <v>31</v>
      </c>
      <c r="I17" s="4">
        <v>47</v>
      </c>
      <c r="J17" s="4">
        <v>59</v>
      </c>
      <c r="K17" s="18"/>
      <c r="L17" s="18"/>
      <c r="M17" s="18"/>
      <c r="N17" s="59"/>
    </row>
    <row r="18" spans="1:14" ht="60" x14ac:dyDescent="0.25">
      <c r="A18" s="3" t="s">
        <v>7</v>
      </c>
      <c r="B18" s="3" t="s">
        <v>115</v>
      </c>
      <c r="C18" s="2">
        <v>20</v>
      </c>
      <c r="D18" s="4">
        <v>388</v>
      </c>
      <c r="E18" s="7">
        <f t="shared" si="0"/>
        <v>19.399999999999999</v>
      </c>
      <c r="F18" s="51"/>
      <c r="G18" s="51"/>
      <c r="H18" s="51"/>
      <c r="I18" s="51"/>
      <c r="J18" s="4">
        <v>280</v>
      </c>
      <c r="K18" s="4">
        <v>393</v>
      </c>
      <c r="L18" s="4">
        <v>371</v>
      </c>
      <c r="M18" s="4">
        <v>498</v>
      </c>
      <c r="N18" s="8">
        <f>(D18-M18)/M18</f>
        <v>-0.22088353413654618</v>
      </c>
    </row>
    <row r="19" spans="1:14" ht="45" x14ac:dyDescent="0.25">
      <c r="A19" s="3" t="s">
        <v>7</v>
      </c>
      <c r="B19" s="3" t="s">
        <v>117</v>
      </c>
      <c r="C19" s="2">
        <v>20</v>
      </c>
      <c r="D19" s="4">
        <v>866</v>
      </c>
      <c r="E19" s="7">
        <f t="shared" si="0"/>
        <v>43.3</v>
      </c>
      <c r="F19" s="51"/>
      <c r="G19" s="51"/>
      <c r="H19" s="51"/>
      <c r="I19" s="51"/>
      <c r="J19" s="4">
        <v>0</v>
      </c>
      <c r="K19" s="4">
        <v>722</v>
      </c>
      <c r="L19" s="4">
        <v>1162</v>
      </c>
      <c r="M19" s="4">
        <v>991</v>
      </c>
      <c r="N19" s="8">
        <f>(D19-M19)/M19</f>
        <v>-0.12613521695257315</v>
      </c>
    </row>
    <row r="20" spans="1:14" ht="60" x14ac:dyDescent="0.25">
      <c r="A20" s="3"/>
      <c r="B20" s="3" t="s">
        <v>134</v>
      </c>
      <c r="C20" s="2">
        <v>15</v>
      </c>
      <c r="D20" s="51"/>
      <c r="E20" s="51"/>
      <c r="F20" s="51"/>
      <c r="G20" s="51"/>
      <c r="H20" s="51"/>
      <c r="I20" s="51"/>
      <c r="J20" s="18"/>
      <c r="K20" s="18"/>
      <c r="L20" s="4">
        <v>48</v>
      </c>
      <c r="M20" s="51"/>
      <c r="N20" s="18"/>
    </row>
    <row r="21" spans="1:14" x14ac:dyDescent="0.25">
      <c r="A21" s="69" t="s">
        <v>33</v>
      </c>
      <c r="B21" s="69"/>
      <c r="C21" s="10">
        <f>SUM(C4:C20)</f>
        <v>410</v>
      </c>
      <c r="D21" s="10">
        <f>SUM(D4:D20)</f>
        <v>8658</v>
      </c>
      <c r="E21" s="9">
        <f t="shared" si="0"/>
        <v>21.117073170731707</v>
      </c>
      <c r="F21" s="10">
        <f>SUM(F4:F18)</f>
        <v>5236</v>
      </c>
      <c r="G21" s="10">
        <f t="shared" ref="G21:I21" si="1">SUM(G4:G18)</f>
        <v>7656</v>
      </c>
      <c r="H21" s="10">
        <f t="shared" si="1"/>
        <v>5713</v>
      </c>
      <c r="I21" s="10">
        <f t="shared" si="1"/>
        <v>7577</v>
      </c>
      <c r="J21" s="10">
        <f>SUM(J4:J19)</f>
        <v>7366</v>
      </c>
      <c r="K21" s="10">
        <f>SUM(K4:K19)</f>
        <v>9227</v>
      </c>
      <c r="L21" s="10">
        <f>SUM(L4:L20)</f>
        <v>8742</v>
      </c>
      <c r="M21" s="10">
        <f>SUM(M4:M20)</f>
        <v>9119</v>
      </c>
      <c r="N21" s="43">
        <f>(D21-M21)/M21</f>
        <v>-5.0553788792630769E-2</v>
      </c>
    </row>
  </sheetData>
  <mergeCells count="16">
    <mergeCell ref="A21:B21"/>
    <mergeCell ref="B2:B3"/>
    <mergeCell ref="A2:A3"/>
    <mergeCell ref="C2:C3"/>
    <mergeCell ref="D2:D3"/>
    <mergeCell ref="L2:L3"/>
    <mergeCell ref="N2:N3"/>
    <mergeCell ref="A1:N1"/>
    <mergeCell ref="E2:E3"/>
    <mergeCell ref="F2:F3"/>
    <mergeCell ref="G2:G3"/>
    <mergeCell ref="H2:H3"/>
    <mergeCell ref="I2:I3"/>
    <mergeCell ref="J2:J3"/>
    <mergeCell ref="K2:K3"/>
    <mergeCell ref="M2:M3"/>
  </mergeCells>
  <conditionalFormatting sqref="E4:E19 E21">
    <cfRule type="cellIs" dxfId="8" priority="4" operator="greaterThan">
      <formula>1</formula>
    </cfRule>
  </conditionalFormatting>
  <conditionalFormatting sqref="N4:N19">
    <cfRule type="cellIs" dxfId="7" priority="2" operator="greaterThan">
      <formula>0</formula>
    </cfRule>
  </conditionalFormatting>
  <conditionalFormatting sqref="N21">
    <cfRule type="cellIs" dxfId="6" priority="1" operator="greaterThan">
      <formula>0</formula>
    </cfRule>
  </conditionalFormatting>
  <pageMargins left="0.7" right="0.7" top="0.75" bottom="0.75" header="0.3" footer="0.3"/>
  <pageSetup paperSize="9" scale="94" fitToWidth="0" orientation="landscape" verticalDpi="0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2"/>
  <sheetViews>
    <sheetView tabSelected="1" zoomScaleNormal="100" workbookViewId="0">
      <selection activeCell="D21" sqref="D21"/>
    </sheetView>
  </sheetViews>
  <sheetFormatPr baseColWidth="10" defaultRowHeight="15" x14ac:dyDescent="0.25"/>
  <cols>
    <col min="1" max="1" width="14.7109375" bestFit="1" customWidth="1"/>
    <col min="2" max="2" width="63.7109375" bestFit="1" customWidth="1"/>
  </cols>
  <sheetData>
    <row r="1" spans="1:15" ht="23.25" x14ac:dyDescent="0.35">
      <c r="A1" s="68" t="s">
        <v>148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5" customHeight="1" x14ac:dyDescent="0.25">
      <c r="A2" s="79" t="s">
        <v>37</v>
      </c>
      <c r="B2" s="79" t="s">
        <v>1</v>
      </c>
      <c r="C2" s="79" t="s">
        <v>51</v>
      </c>
      <c r="D2" s="78" t="s">
        <v>140</v>
      </c>
      <c r="E2" s="78" t="s">
        <v>32</v>
      </c>
      <c r="F2" s="77" t="s">
        <v>34</v>
      </c>
      <c r="G2" s="77" t="s">
        <v>31</v>
      </c>
      <c r="H2" s="77" t="s">
        <v>63</v>
      </c>
      <c r="I2" s="77" t="s">
        <v>72</v>
      </c>
      <c r="J2" s="77" t="s">
        <v>101</v>
      </c>
      <c r="K2" s="77" t="s">
        <v>107</v>
      </c>
      <c r="L2" s="77" t="s">
        <v>116</v>
      </c>
      <c r="M2" s="77" t="s">
        <v>119</v>
      </c>
      <c r="N2" s="77" t="s">
        <v>135</v>
      </c>
      <c r="O2" s="77" t="s">
        <v>35</v>
      </c>
    </row>
    <row r="3" spans="1:15" x14ac:dyDescent="0.25">
      <c r="A3" s="79"/>
      <c r="B3" s="79"/>
      <c r="C3" s="79"/>
      <c r="D3" s="78"/>
      <c r="E3" s="78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2" t="s">
        <v>103</v>
      </c>
      <c r="B4" s="2" t="s">
        <v>38</v>
      </c>
      <c r="C4" s="32">
        <v>27</v>
      </c>
      <c r="D4" s="32">
        <v>2059</v>
      </c>
      <c r="E4" s="7">
        <f t="shared" ref="E4:E22" si="0">D4/C4</f>
        <v>76.259259259259252</v>
      </c>
      <c r="F4" s="4">
        <v>1623</v>
      </c>
      <c r="G4" s="4">
        <v>1866</v>
      </c>
      <c r="H4" s="4">
        <v>1966</v>
      </c>
      <c r="I4" s="32">
        <v>1542</v>
      </c>
      <c r="J4" s="32">
        <v>2215</v>
      </c>
      <c r="K4" s="32">
        <v>2088</v>
      </c>
      <c r="L4" s="32">
        <v>2405</v>
      </c>
      <c r="M4" s="32">
        <v>2065</v>
      </c>
      <c r="N4" s="32">
        <v>2562</v>
      </c>
      <c r="O4" s="8">
        <f>(D4-N4)/N4</f>
        <v>-0.19633099141295862</v>
      </c>
    </row>
    <row r="5" spans="1:15" x14ac:dyDescent="0.25">
      <c r="A5" s="2" t="s">
        <v>103</v>
      </c>
      <c r="B5" s="2" t="s">
        <v>105</v>
      </c>
      <c r="C5" s="32">
        <v>112</v>
      </c>
      <c r="D5" s="32">
        <v>2685</v>
      </c>
      <c r="E5" s="7">
        <f t="shared" si="0"/>
        <v>23.973214285714285</v>
      </c>
      <c r="F5" s="4">
        <v>1460</v>
      </c>
      <c r="G5" s="4">
        <v>2094</v>
      </c>
      <c r="H5" s="4">
        <v>2039</v>
      </c>
      <c r="I5" s="32">
        <v>2404</v>
      </c>
      <c r="J5" s="32">
        <v>1970</v>
      </c>
      <c r="K5" s="32">
        <v>2310</v>
      </c>
      <c r="L5" s="32">
        <v>2039</v>
      </c>
      <c r="M5" s="32">
        <v>2515</v>
      </c>
      <c r="N5" s="32">
        <v>2887</v>
      </c>
      <c r="O5" s="8">
        <f>(D5-N5)/N5</f>
        <v>-6.9968825770696227E-2</v>
      </c>
    </row>
    <row r="6" spans="1:15" x14ac:dyDescent="0.25">
      <c r="A6" s="2" t="s">
        <v>103</v>
      </c>
      <c r="B6" s="2" t="s">
        <v>39</v>
      </c>
      <c r="C6" s="42"/>
      <c r="D6" s="42"/>
      <c r="E6" s="49"/>
      <c r="F6" s="4">
        <v>398</v>
      </c>
      <c r="G6" s="4">
        <v>894</v>
      </c>
      <c r="H6" s="4">
        <v>833</v>
      </c>
      <c r="I6" s="32">
        <v>605</v>
      </c>
      <c r="J6" s="42"/>
      <c r="K6" s="42"/>
      <c r="L6" s="42"/>
      <c r="M6" s="42"/>
      <c r="N6" s="42"/>
      <c r="O6" s="42"/>
    </row>
    <row r="7" spans="1:15" x14ac:dyDescent="0.25">
      <c r="A7" s="2" t="s">
        <v>103</v>
      </c>
      <c r="B7" s="2" t="s">
        <v>40</v>
      </c>
      <c r="C7" s="32">
        <v>28</v>
      </c>
      <c r="D7" s="32">
        <v>375</v>
      </c>
      <c r="E7" s="7">
        <f t="shared" si="0"/>
        <v>13.392857142857142</v>
      </c>
      <c r="F7" s="4">
        <v>372</v>
      </c>
      <c r="G7" s="4">
        <v>525</v>
      </c>
      <c r="H7" s="4">
        <v>517</v>
      </c>
      <c r="I7" s="32">
        <v>379</v>
      </c>
      <c r="J7" s="32">
        <v>457</v>
      </c>
      <c r="K7" s="32">
        <v>321</v>
      </c>
      <c r="L7" s="32">
        <v>327</v>
      </c>
      <c r="M7" s="32">
        <v>327</v>
      </c>
      <c r="N7" s="32">
        <v>329</v>
      </c>
      <c r="O7" s="8">
        <f>(D7-N7)/N7</f>
        <v>0.1398176291793313</v>
      </c>
    </row>
    <row r="8" spans="1:15" x14ac:dyDescent="0.25">
      <c r="A8" s="2" t="s">
        <v>103</v>
      </c>
      <c r="B8" s="2" t="s">
        <v>41</v>
      </c>
      <c r="C8" s="32">
        <v>28</v>
      </c>
      <c r="D8" s="32">
        <v>480</v>
      </c>
      <c r="E8" s="7">
        <f t="shared" si="0"/>
        <v>17.142857142857142</v>
      </c>
      <c r="F8" s="4">
        <v>706</v>
      </c>
      <c r="G8" s="4">
        <v>1062</v>
      </c>
      <c r="H8" s="4">
        <v>1180</v>
      </c>
      <c r="I8" s="32">
        <v>759</v>
      </c>
      <c r="J8" s="32">
        <v>1009</v>
      </c>
      <c r="K8" s="32">
        <v>740</v>
      </c>
      <c r="L8" s="32">
        <v>620</v>
      </c>
      <c r="M8" s="32">
        <v>531</v>
      </c>
      <c r="N8" s="32">
        <v>625</v>
      </c>
      <c r="O8" s="8">
        <f>(D8-N8)/N8</f>
        <v>-0.23200000000000001</v>
      </c>
    </row>
    <row r="9" spans="1:15" x14ac:dyDescent="0.25">
      <c r="A9" s="2" t="s">
        <v>104</v>
      </c>
      <c r="B9" s="2" t="s">
        <v>42</v>
      </c>
      <c r="C9" s="32">
        <v>70</v>
      </c>
      <c r="D9" s="32">
        <v>730</v>
      </c>
      <c r="E9" s="7">
        <f t="shared" si="0"/>
        <v>10.428571428571429</v>
      </c>
      <c r="F9" s="4">
        <v>307</v>
      </c>
      <c r="G9" s="4">
        <v>380</v>
      </c>
      <c r="H9" s="4">
        <v>373</v>
      </c>
      <c r="I9" s="32">
        <v>436</v>
      </c>
      <c r="J9" s="32">
        <v>394</v>
      </c>
      <c r="K9" s="32">
        <v>431</v>
      </c>
      <c r="L9" s="32">
        <v>459</v>
      </c>
      <c r="M9" s="32">
        <v>626</v>
      </c>
      <c r="N9" s="32">
        <v>649</v>
      </c>
      <c r="O9" s="8">
        <f>(D9-N9)/N9</f>
        <v>0.12480739599383667</v>
      </c>
    </row>
    <row r="10" spans="1:15" x14ac:dyDescent="0.25">
      <c r="A10" s="2" t="s">
        <v>104</v>
      </c>
      <c r="B10" s="2" t="s">
        <v>69</v>
      </c>
      <c r="C10" s="42"/>
      <c r="D10" s="42"/>
      <c r="E10" s="42"/>
      <c r="F10" s="42"/>
      <c r="G10" s="42"/>
      <c r="H10" s="22">
        <v>131</v>
      </c>
      <c r="I10" s="32">
        <v>129</v>
      </c>
      <c r="J10" s="32">
        <v>133</v>
      </c>
      <c r="K10" s="32">
        <v>152</v>
      </c>
      <c r="L10" s="32">
        <v>166</v>
      </c>
      <c r="M10" s="42"/>
      <c r="N10" s="42"/>
      <c r="O10" s="42"/>
    </row>
    <row r="11" spans="1:15" x14ac:dyDescent="0.25">
      <c r="A11" s="2" t="s">
        <v>104</v>
      </c>
      <c r="B11" s="2" t="s">
        <v>50</v>
      </c>
      <c r="C11" s="32">
        <v>64</v>
      </c>
      <c r="D11" s="32">
        <v>934</v>
      </c>
      <c r="E11" s="7">
        <f t="shared" si="0"/>
        <v>14.59375</v>
      </c>
      <c r="F11" s="4">
        <v>327</v>
      </c>
      <c r="G11" s="4">
        <v>542</v>
      </c>
      <c r="H11" s="4">
        <v>534</v>
      </c>
      <c r="I11" s="32">
        <v>512</v>
      </c>
      <c r="J11" s="32">
        <v>559</v>
      </c>
      <c r="K11" s="32">
        <v>725</v>
      </c>
      <c r="L11" s="32">
        <v>682</v>
      </c>
      <c r="M11" s="32">
        <v>773</v>
      </c>
      <c r="N11" s="32">
        <v>680</v>
      </c>
      <c r="O11" s="8">
        <f>(D11-N11)/N11</f>
        <v>0.37352941176470589</v>
      </c>
    </row>
    <row r="12" spans="1:15" x14ac:dyDescent="0.25">
      <c r="A12" s="2" t="s">
        <v>103</v>
      </c>
      <c r="B12" s="2" t="s">
        <v>43</v>
      </c>
      <c r="C12" s="32">
        <v>84</v>
      </c>
      <c r="D12" s="32">
        <v>1633</v>
      </c>
      <c r="E12" s="7">
        <f t="shared" si="0"/>
        <v>19.44047619047619</v>
      </c>
      <c r="F12" s="4">
        <v>955</v>
      </c>
      <c r="G12" s="4">
        <v>1414</v>
      </c>
      <c r="H12" s="4">
        <v>1485</v>
      </c>
      <c r="I12" s="32">
        <v>1603</v>
      </c>
      <c r="J12" s="32">
        <v>1593</v>
      </c>
      <c r="K12" s="32">
        <v>1962</v>
      </c>
      <c r="L12" s="32">
        <v>1771</v>
      </c>
      <c r="M12" s="32">
        <v>1664</v>
      </c>
      <c r="N12" s="32">
        <v>1569</v>
      </c>
      <c r="O12" s="8">
        <f>(D12-N12)/N12</f>
        <v>4.0790312300828552E-2</v>
      </c>
    </row>
    <row r="13" spans="1:15" x14ac:dyDescent="0.25">
      <c r="A13" s="2" t="s">
        <v>104</v>
      </c>
      <c r="B13" s="2" t="s">
        <v>44</v>
      </c>
      <c r="C13" s="32">
        <v>104</v>
      </c>
      <c r="D13" s="32">
        <v>1199</v>
      </c>
      <c r="E13" s="7">
        <f t="shared" si="0"/>
        <v>11.528846153846153</v>
      </c>
      <c r="F13" s="4">
        <v>672</v>
      </c>
      <c r="G13" s="4">
        <v>846</v>
      </c>
      <c r="H13" s="4">
        <v>834</v>
      </c>
      <c r="I13" s="32">
        <v>1073</v>
      </c>
      <c r="J13" s="32">
        <v>771</v>
      </c>
      <c r="K13" s="32">
        <v>754</v>
      </c>
      <c r="L13" s="32">
        <v>876</v>
      </c>
      <c r="M13" s="32">
        <v>757</v>
      </c>
      <c r="N13" s="32">
        <v>901</v>
      </c>
      <c r="O13" s="8">
        <f>(D13-N13)/N13</f>
        <v>0.33074361820199777</v>
      </c>
    </row>
    <row r="14" spans="1:15" x14ac:dyDescent="0.25">
      <c r="A14" s="2" t="s">
        <v>104</v>
      </c>
      <c r="B14" s="2" t="s">
        <v>45</v>
      </c>
      <c r="C14" s="42"/>
      <c r="D14" s="42"/>
      <c r="E14" s="42"/>
      <c r="F14" s="4">
        <v>115</v>
      </c>
      <c r="G14" s="4">
        <v>260</v>
      </c>
      <c r="H14" s="4">
        <v>201</v>
      </c>
      <c r="I14" s="32">
        <v>211</v>
      </c>
      <c r="J14" s="42"/>
      <c r="K14" s="42"/>
      <c r="L14" s="42"/>
      <c r="M14" s="42"/>
      <c r="N14" s="42"/>
      <c r="O14" s="42"/>
    </row>
    <row r="15" spans="1:15" x14ac:dyDescent="0.25">
      <c r="A15" s="2" t="s">
        <v>104</v>
      </c>
      <c r="B15" s="2" t="s">
        <v>46</v>
      </c>
      <c r="C15" s="32">
        <v>75</v>
      </c>
      <c r="D15" s="22">
        <v>1791</v>
      </c>
      <c r="E15" s="7">
        <f t="shared" si="0"/>
        <v>23.88</v>
      </c>
      <c r="F15" s="4">
        <v>1192</v>
      </c>
      <c r="G15" s="4">
        <v>1630</v>
      </c>
      <c r="H15" s="4">
        <v>1376</v>
      </c>
      <c r="I15" s="32">
        <v>1249</v>
      </c>
      <c r="J15" s="32">
        <v>1318</v>
      </c>
      <c r="K15" s="32">
        <v>1274</v>
      </c>
      <c r="L15" s="32">
        <v>1378</v>
      </c>
      <c r="M15" s="32">
        <v>1389</v>
      </c>
      <c r="N15" s="22">
        <v>1558</v>
      </c>
      <c r="O15" s="8">
        <f>(D15-N15)/N15</f>
        <v>0.14955070603337611</v>
      </c>
    </row>
    <row r="16" spans="1:15" x14ac:dyDescent="0.25">
      <c r="A16" s="2" t="s">
        <v>104</v>
      </c>
      <c r="B16" s="2" t="s">
        <v>47</v>
      </c>
      <c r="C16" s="32">
        <v>20</v>
      </c>
      <c r="D16" s="32">
        <v>372</v>
      </c>
      <c r="E16" s="7">
        <f t="shared" si="0"/>
        <v>18.600000000000001</v>
      </c>
      <c r="F16" s="4">
        <v>252</v>
      </c>
      <c r="G16" s="4">
        <v>640</v>
      </c>
      <c r="H16" s="4">
        <v>463</v>
      </c>
      <c r="I16" s="32">
        <v>271</v>
      </c>
      <c r="J16" s="32">
        <v>419</v>
      </c>
      <c r="K16" s="32">
        <v>394</v>
      </c>
      <c r="L16" s="32">
        <v>511</v>
      </c>
      <c r="M16" s="32">
        <v>527</v>
      </c>
      <c r="N16" s="32">
        <v>556</v>
      </c>
      <c r="O16" s="8">
        <f t="shared" ref="O16:O22" si="1">(D16-N16)/N16</f>
        <v>-0.33093525179856115</v>
      </c>
    </row>
    <row r="17" spans="1:15" x14ac:dyDescent="0.25">
      <c r="A17" s="2" t="s">
        <v>103</v>
      </c>
      <c r="B17" s="2" t="s">
        <v>48</v>
      </c>
      <c r="C17" s="32">
        <v>140</v>
      </c>
      <c r="D17" s="32">
        <v>6000</v>
      </c>
      <c r="E17" s="7">
        <f t="shared" si="0"/>
        <v>42.857142857142854</v>
      </c>
      <c r="F17" s="4">
        <v>2228</v>
      </c>
      <c r="G17" s="4">
        <v>3338</v>
      </c>
      <c r="H17" s="4">
        <v>3171</v>
      </c>
      <c r="I17" s="32">
        <v>2969</v>
      </c>
      <c r="J17" s="32">
        <v>2752</v>
      </c>
      <c r="K17" s="32">
        <v>3055</v>
      </c>
      <c r="L17" s="32">
        <v>2803</v>
      </c>
      <c r="M17" s="32">
        <v>3792</v>
      </c>
      <c r="N17" s="32">
        <v>4563</v>
      </c>
      <c r="O17" s="8">
        <f t="shared" si="1"/>
        <v>0.31492439184746879</v>
      </c>
    </row>
    <row r="18" spans="1:15" x14ac:dyDescent="0.25">
      <c r="A18" s="2" t="s">
        <v>103</v>
      </c>
      <c r="B18" s="2" t="s">
        <v>49</v>
      </c>
      <c r="C18" s="32">
        <v>50</v>
      </c>
      <c r="D18" s="32">
        <v>1551</v>
      </c>
      <c r="E18" s="7">
        <f t="shared" si="0"/>
        <v>31.02</v>
      </c>
      <c r="F18" s="4">
        <v>492</v>
      </c>
      <c r="G18" s="4">
        <v>1072</v>
      </c>
      <c r="H18" s="4">
        <v>920</v>
      </c>
      <c r="I18" s="32">
        <v>797</v>
      </c>
      <c r="J18" s="32">
        <v>1031</v>
      </c>
      <c r="K18" s="32">
        <v>1112</v>
      </c>
      <c r="L18" s="32">
        <v>1590</v>
      </c>
      <c r="M18" s="32">
        <v>1865</v>
      </c>
      <c r="N18" s="32">
        <v>2476</v>
      </c>
      <c r="O18" s="8">
        <f t="shared" si="1"/>
        <v>-0.37358642972536349</v>
      </c>
    </row>
    <row r="19" spans="1:15" x14ac:dyDescent="0.25">
      <c r="A19" s="2" t="s">
        <v>103</v>
      </c>
      <c r="B19" s="2" t="s">
        <v>106</v>
      </c>
      <c r="C19" s="32">
        <v>168</v>
      </c>
      <c r="D19" s="32">
        <v>5518</v>
      </c>
      <c r="E19" s="7">
        <f t="shared" si="0"/>
        <v>32.845238095238095</v>
      </c>
      <c r="F19" s="4">
        <v>2128</v>
      </c>
      <c r="G19" s="4">
        <v>3266</v>
      </c>
      <c r="H19" s="4">
        <v>3414</v>
      </c>
      <c r="I19" s="32">
        <v>3509</v>
      </c>
      <c r="J19" s="32">
        <v>3814</v>
      </c>
      <c r="K19" s="32">
        <v>3687</v>
      </c>
      <c r="L19" s="32">
        <v>4388</v>
      </c>
      <c r="M19" s="32">
        <v>4040</v>
      </c>
      <c r="N19" s="32">
        <v>4547</v>
      </c>
      <c r="O19" s="8">
        <f t="shared" si="1"/>
        <v>0.21354739388607874</v>
      </c>
    </row>
    <row r="20" spans="1:15" x14ac:dyDescent="0.25">
      <c r="A20" s="2" t="s">
        <v>103</v>
      </c>
      <c r="B20" s="2" t="s">
        <v>39</v>
      </c>
      <c r="C20" s="32">
        <v>28</v>
      </c>
      <c r="D20" s="32">
        <v>1506</v>
      </c>
      <c r="E20" s="7">
        <f t="shared" si="0"/>
        <v>53.785714285714285</v>
      </c>
      <c r="F20" s="4">
        <v>538</v>
      </c>
      <c r="G20" s="4">
        <v>873</v>
      </c>
      <c r="H20" s="4">
        <v>898</v>
      </c>
      <c r="I20" s="32">
        <v>914</v>
      </c>
      <c r="J20" s="32">
        <v>1245</v>
      </c>
      <c r="K20" s="32">
        <v>1349</v>
      </c>
      <c r="L20" s="32">
        <v>1702</v>
      </c>
      <c r="M20" s="32">
        <v>1962</v>
      </c>
      <c r="N20" s="32">
        <v>2662</v>
      </c>
      <c r="O20" s="8">
        <f t="shared" si="1"/>
        <v>-0.43425995492111197</v>
      </c>
    </row>
    <row r="21" spans="1:15" x14ac:dyDescent="0.25">
      <c r="A21" s="64" t="s">
        <v>103</v>
      </c>
      <c r="B21" s="64" t="s">
        <v>139</v>
      </c>
      <c r="C21" s="63">
        <v>25</v>
      </c>
      <c r="D21" s="32">
        <v>697</v>
      </c>
      <c r="E21" s="7">
        <f t="shared" si="0"/>
        <v>27.88</v>
      </c>
      <c r="F21" s="4">
        <v>241</v>
      </c>
      <c r="G21" s="4">
        <v>377</v>
      </c>
      <c r="H21" s="4">
        <v>371</v>
      </c>
      <c r="I21" s="32">
        <v>343</v>
      </c>
      <c r="J21" s="32">
        <v>418</v>
      </c>
      <c r="K21" s="32">
        <v>442</v>
      </c>
      <c r="L21" s="63">
        <v>417</v>
      </c>
      <c r="M21" s="63">
        <v>490</v>
      </c>
      <c r="N21" s="32">
        <v>616</v>
      </c>
      <c r="O21" s="8">
        <f t="shared" si="1"/>
        <v>0.1314935064935065</v>
      </c>
    </row>
    <row r="22" spans="1:15" x14ac:dyDescent="0.25">
      <c r="A22" s="69" t="s">
        <v>33</v>
      </c>
      <c r="B22" s="69"/>
      <c r="C22" s="10">
        <f>SUM(C4:C21)</f>
        <v>1023</v>
      </c>
      <c r="D22" s="10">
        <f>SUM(D4:D21)</f>
        <v>27530</v>
      </c>
      <c r="E22" s="9">
        <f t="shared" si="0"/>
        <v>26.911045943304007</v>
      </c>
      <c r="F22" s="10">
        <f t="shared" ref="F22:M22" si="2">SUM(F4:F21)</f>
        <v>14006</v>
      </c>
      <c r="G22" s="10">
        <f t="shared" si="2"/>
        <v>21079</v>
      </c>
      <c r="H22" s="10">
        <f t="shared" si="2"/>
        <v>20706</v>
      </c>
      <c r="I22" s="10">
        <f t="shared" si="2"/>
        <v>19705</v>
      </c>
      <c r="J22" s="10">
        <f t="shared" si="2"/>
        <v>20098</v>
      </c>
      <c r="K22" s="10">
        <f t="shared" si="2"/>
        <v>20796</v>
      </c>
      <c r="L22" s="10">
        <f t="shared" si="2"/>
        <v>22134</v>
      </c>
      <c r="M22" s="10">
        <f t="shared" si="2"/>
        <v>23323</v>
      </c>
      <c r="N22" s="10">
        <f>SUM(N4:N21)</f>
        <v>27180</v>
      </c>
      <c r="O22" s="43">
        <f t="shared" si="1"/>
        <v>1.2877115526122149E-2</v>
      </c>
    </row>
  </sheetData>
  <mergeCells count="17">
    <mergeCell ref="L2:L3"/>
    <mergeCell ref="M2:M3"/>
    <mergeCell ref="N2:N3"/>
    <mergeCell ref="A22:B22"/>
    <mergeCell ref="A1:O1"/>
    <mergeCell ref="A2:A3"/>
    <mergeCell ref="B2:B3"/>
    <mergeCell ref="C2:C3"/>
    <mergeCell ref="D2:D3"/>
    <mergeCell ref="E2:E3"/>
    <mergeCell ref="F2:F3"/>
    <mergeCell ref="O2:O3"/>
    <mergeCell ref="G2:G3"/>
    <mergeCell ref="H2:H3"/>
    <mergeCell ref="I2:I3"/>
    <mergeCell ref="J2:J3"/>
    <mergeCell ref="K2:K3"/>
  </mergeCells>
  <conditionalFormatting sqref="E4:E9 E11:E13 E15:E21">
    <cfRule type="cellIs" dxfId="5" priority="11" operator="greaterThan">
      <formula>1</formula>
    </cfRule>
  </conditionalFormatting>
  <conditionalFormatting sqref="O4:O5 O7:O9 O11:O13 O16:O21">
    <cfRule type="cellIs" dxfId="4" priority="9" operator="greaterThan">
      <formula>0</formula>
    </cfRule>
  </conditionalFormatting>
  <conditionalFormatting sqref="E22">
    <cfRule type="cellIs" dxfId="3" priority="8" operator="greaterThan">
      <formula>1</formula>
    </cfRule>
  </conditionalFormatting>
  <conditionalFormatting sqref="O22">
    <cfRule type="cellIs" dxfId="2" priority="2" operator="greaterThan">
      <formula>0</formula>
    </cfRule>
  </conditionalFormatting>
  <conditionalFormatting sqref="O15">
    <cfRule type="cellIs" dxfId="1" priority="1" operator="greaterThan">
      <formula>0</formula>
    </cfRule>
  </conditionalFormatting>
  <pageMargins left="0.7" right="0.7" top="0.75" bottom="0.75" header="0.3" footer="0.3"/>
  <pageSetup paperSize="9" scale="82" fitToHeight="0" orientation="landscape" verticalDpi="0" r:id="rId1"/>
  <rowBreaks count="1" manualBreakCount="1">
    <brk id="22" max="7" man="1"/>
  </rowBreaks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"/>
  <sheetViews>
    <sheetView zoomScaleNormal="100" workbookViewId="0">
      <selection activeCell="I7" sqref="I7"/>
    </sheetView>
  </sheetViews>
  <sheetFormatPr baseColWidth="10" defaultColWidth="15.42578125" defaultRowHeight="15" x14ac:dyDescent="0.25"/>
  <cols>
    <col min="1" max="1" width="19.42578125" bestFit="1" customWidth="1"/>
  </cols>
  <sheetData>
    <row r="1" spans="1:11" ht="23.25" x14ac:dyDescent="0.35">
      <c r="A1" s="68" t="s">
        <v>144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" customHeight="1" x14ac:dyDescent="0.25">
      <c r="A2" s="80" t="s">
        <v>70</v>
      </c>
      <c r="B2" s="77" t="s">
        <v>31</v>
      </c>
      <c r="C2" s="77" t="s">
        <v>63</v>
      </c>
      <c r="D2" s="77" t="s">
        <v>72</v>
      </c>
      <c r="E2" s="77" t="s">
        <v>101</v>
      </c>
      <c r="F2" s="77" t="s">
        <v>107</v>
      </c>
      <c r="G2" s="77" t="s">
        <v>116</v>
      </c>
      <c r="H2" s="77" t="s">
        <v>119</v>
      </c>
      <c r="I2" s="77" t="s">
        <v>135</v>
      </c>
      <c r="J2" s="78" t="s">
        <v>140</v>
      </c>
      <c r="K2" s="77" t="s">
        <v>35</v>
      </c>
    </row>
    <row r="3" spans="1:11" x14ac:dyDescent="0.25">
      <c r="A3" s="80"/>
      <c r="B3" s="77"/>
      <c r="C3" s="77"/>
      <c r="D3" s="77"/>
      <c r="E3" s="77"/>
      <c r="F3" s="77"/>
      <c r="G3" s="77"/>
      <c r="H3" s="77"/>
      <c r="I3" s="77"/>
      <c r="J3" s="78"/>
      <c r="K3" s="77"/>
    </row>
    <row r="4" spans="1:11" x14ac:dyDescent="0.25">
      <c r="A4" s="4" t="s">
        <v>88</v>
      </c>
      <c r="B4" s="4">
        <f>LICENCE!F52</f>
        <v>27775</v>
      </c>
      <c r="C4" s="4">
        <f>LICENCE!G52</f>
        <v>31388</v>
      </c>
      <c r="D4" s="4">
        <f>LICENCE!H52</f>
        <v>38690</v>
      </c>
      <c r="E4" s="4">
        <f>LICENCE!I52</f>
        <v>46929</v>
      </c>
      <c r="F4" s="4">
        <f>LICENCE!J52</f>
        <v>54650</v>
      </c>
      <c r="G4" s="4">
        <f>LICENCE!K52</f>
        <v>43830</v>
      </c>
      <c r="H4" s="4">
        <f>LICENCE!L52</f>
        <v>51483</v>
      </c>
      <c r="I4" s="4">
        <f>LICENCE!M52</f>
        <v>67980</v>
      </c>
      <c r="J4" s="4">
        <f>LICENCE!$D$52</f>
        <v>67580</v>
      </c>
      <c r="K4" s="8">
        <f>(J4-I4)/I4</f>
        <v>-5.884083553986467E-3</v>
      </c>
    </row>
    <row r="5" spans="1:11" x14ac:dyDescent="0.25">
      <c r="A5" s="4" t="s">
        <v>71</v>
      </c>
      <c r="B5" s="4">
        <f>'DOUBLE LICENCE'!F21</f>
        <v>5236</v>
      </c>
      <c r="C5" s="4">
        <f>'DOUBLE LICENCE'!G21</f>
        <v>7656</v>
      </c>
      <c r="D5" s="4">
        <f>'DOUBLE LICENCE'!H21</f>
        <v>5713</v>
      </c>
      <c r="E5" s="4">
        <f>'DOUBLE LICENCE'!I21</f>
        <v>7577</v>
      </c>
      <c r="F5" s="4">
        <f>'DOUBLE LICENCE'!J21</f>
        <v>7366</v>
      </c>
      <c r="G5" s="4">
        <f>'DOUBLE LICENCE'!K21</f>
        <v>9227</v>
      </c>
      <c r="H5" s="4">
        <f>'DOUBLE LICENCE'!L21</f>
        <v>8742</v>
      </c>
      <c r="I5" s="66">
        <f>'DOUBLE LICENCE'!M21</f>
        <v>9119</v>
      </c>
      <c r="J5" s="66">
        <f>'DOUBLE LICENCE'!D21</f>
        <v>8658</v>
      </c>
      <c r="K5" s="8">
        <f t="shared" ref="K5:K7" si="0">(J5-I5)/I5</f>
        <v>-5.0553788792630769E-2</v>
      </c>
    </row>
    <row r="6" spans="1:11" x14ac:dyDescent="0.25">
      <c r="A6" s="4" t="s">
        <v>118</v>
      </c>
      <c r="B6" s="4">
        <f>BUT!G22</f>
        <v>21079</v>
      </c>
      <c r="C6" s="4">
        <f>BUT!H22</f>
        <v>20706</v>
      </c>
      <c r="D6" s="4">
        <f>BUT!I22</f>
        <v>19705</v>
      </c>
      <c r="E6" s="4">
        <f>BUT!J22</f>
        <v>20098</v>
      </c>
      <c r="F6" s="4">
        <f>BUT!K22</f>
        <v>20796</v>
      </c>
      <c r="G6" s="4">
        <f>BUT!L22</f>
        <v>22134</v>
      </c>
      <c r="H6" s="4">
        <f>BUT!M22</f>
        <v>23323</v>
      </c>
      <c r="I6" s="66">
        <f>BUT!N22</f>
        <v>27180</v>
      </c>
      <c r="J6" s="66">
        <f>BUT!D22</f>
        <v>27530</v>
      </c>
      <c r="K6" s="8">
        <f t="shared" si="0"/>
        <v>1.2877115526122149E-2</v>
      </c>
    </row>
    <row r="7" spans="1:11" x14ac:dyDescent="0.25">
      <c r="A7" s="10" t="s">
        <v>33</v>
      </c>
      <c r="B7" s="10">
        <f t="shared" ref="B7:J7" si="1">SUM(B4:B6)</f>
        <v>54090</v>
      </c>
      <c r="C7" s="10">
        <f t="shared" si="1"/>
        <v>59750</v>
      </c>
      <c r="D7" s="10">
        <f t="shared" si="1"/>
        <v>64108</v>
      </c>
      <c r="E7" s="10">
        <f t="shared" si="1"/>
        <v>74604</v>
      </c>
      <c r="F7" s="10">
        <f t="shared" si="1"/>
        <v>82812</v>
      </c>
      <c r="G7" s="10">
        <f t="shared" si="1"/>
        <v>75191</v>
      </c>
      <c r="H7" s="10">
        <f t="shared" si="1"/>
        <v>83548</v>
      </c>
      <c r="I7" s="65">
        <f t="shared" si="1"/>
        <v>104279</v>
      </c>
      <c r="J7" s="65">
        <f t="shared" si="1"/>
        <v>103768</v>
      </c>
      <c r="K7" s="43">
        <f t="shared" si="0"/>
        <v>-4.9003154997650537E-3</v>
      </c>
    </row>
  </sheetData>
  <mergeCells count="12">
    <mergeCell ref="A1:K1"/>
    <mergeCell ref="C2:C3"/>
    <mergeCell ref="B2:B3"/>
    <mergeCell ref="K2:K3"/>
    <mergeCell ref="A2:A3"/>
    <mergeCell ref="E2:E3"/>
    <mergeCell ref="D2:D3"/>
    <mergeCell ref="F2:F3"/>
    <mergeCell ref="G2:G3"/>
    <mergeCell ref="H2:H3"/>
    <mergeCell ref="I2:I3"/>
    <mergeCell ref="J2:J3"/>
  </mergeCells>
  <conditionalFormatting sqref="K4:K7">
    <cfRule type="cellIs" dxfId="0" priority="1" operator="greaterThan">
      <formula>0</formula>
    </cfRule>
  </conditionalFormatting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LICENCE</vt:lpstr>
      <vt:lpstr>PASS-LAS</vt:lpstr>
      <vt:lpstr>DOUBLE LICENCE</vt:lpstr>
      <vt:lpstr>BUT</vt:lpstr>
      <vt:lpstr>TOTAL UCA</vt:lpstr>
      <vt:lpstr>BUT!Zone_d_impression</vt:lpstr>
      <vt:lpstr>'DOUBLE LICENCE'!Zone_d_impression</vt:lpstr>
    </vt:vector>
  </TitlesOfParts>
  <Company>UNICE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Cremoux</dc:creator>
  <cp:lastModifiedBy>Pascal Cremoux</cp:lastModifiedBy>
  <cp:lastPrinted>2019-04-04T08:16:48Z</cp:lastPrinted>
  <dcterms:created xsi:type="dcterms:W3CDTF">2017-12-13T08:17:20Z</dcterms:created>
  <dcterms:modified xsi:type="dcterms:W3CDTF">2026-04-02T14:24:52Z</dcterms:modified>
</cp:coreProperties>
</file>